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840" yWindow="2260" windowWidth="35620" windowHeight="24180"/>
  </bookViews>
  <sheets>
    <sheet name="Budget Worksheet" sheetId="1" r:id="rId1"/>
    <sheet name="Salaries &amp; Wages Summary" sheetId="4" r:id="rId2"/>
    <sheet name="Sheet3" sheetId="3" r:id="rId3"/>
    <sheet name="Sheet2" sheetId="2" r:id="rId4"/>
  </sheets>
  <definedNames>
    <definedName name="_xlnm.Print_Area" localSheetId="0">'Budget Worksheet'!$A$1:$M$129</definedName>
  </definedNames>
  <calcPr calcId="152511" iterate="1" iterateCount="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41" i="1"/>
  <c r="E132"/>
  <c r="C142"/>
  <c r="L96"/>
  <c r="K95"/>
  <c r="K96"/>
  <c r="P10"/>
  <c r="P21"/>
  <c r="P127"/>
  <c r="P57"/>
  <c r="P63"/>
  <c r="P83"/>
  <c r="P88"/>
  <c r="P91"/>
  <c r="P92"/>
  <c r="P106"/>
  <c r="P112"/>
  <c r="P117"/>
  <c r="P120"/>
  <c r="P123"/>
  <c r="O9"/>
  <c r="O10"/>
  <c r="O57"/>
  <c r="O63"/>
  <c r="O83"/>
  <c r="O88"/>
  <c r="K91"/>
  <c r="K92"/>
  <c r="O92"/>
  <c r="O106"/>
  <c r="O112"/>
  <c r="O117"/>
  <c r="O120"/>
  <c r="O123"/>
  <c r="N10"/>
  <c r="N21"/>
  <c r="N127"/>
  <c r="N57"/>
  <c r="N63"/>
  <c r="N83"/>
  <c r="N88"/>
  <c r="N91"/>
  <c r="N92"/>
  <c r="N98"/>
  <c r="N106"/>
  <c r="N112"/>
  <c r="N117"/>
  <c r="N120"/>
  <c r="N123"/>
  <c r="M10"/>
  <c r="M21"/>
  <c r="M127"/>
  <c r="M57"/>
  <c r="M63"/>
  <c r="M83"/>
  <c r="M88"/>
  <c r="M91"/>
  <c r="M92"/>
  <c r="M106"/>
  <c r="M112"/>
  <c r="M117"/>
  <c r="M120"/>
  <c r="M123"/>
  <c r="L9"/>
  <c r="L10"/>
  <c r="J38"/>
  <c r="L38"/>
  <c r="L57"/>
  <c r="L83"/>
  <c r="L88"/>
  <c r="L94"/>
  <c r="J105"/>
  <c r="K105"/>
  <c r="L117"/>
  <c r="L122"/>
  <c r="L123"/>
  <c r="L112"/>
  <c r="J9"/>
  <c r="H9"/>
  <c r="J10"/>
  <c r="H10"/>
  <c r="H21"/>
  <c r="H127"/>
  <c r="J13"/>
  <c r="K13"/>
  <c r="K14"/>
  <c r="K15"/>
  <c r="K16"/>
  <c r="K17"/>
  <c r="K18"/>
  <c r="J19"/>
  <c r="K19"/>
  <c r="K20"/>
  <c r="J120"/>
  <c r="K120"/>
  <c r="J121"/>
  <c r="K121"/>
  <c r="H122"/>
  <c r="K122"/>
  <c r="K115"/>
  <c r="K117"/>
  <c r="H109"/>
  <c r="K109"/>
  <c r="K110"/>
  <c r="J111"/>
  <c r="K111"/>
  <c r="K101"/>
  <c r="K102"/>
  <c r="K103"/>
  <c r="K104"/>
  <c r="H93"/>
  <c r="K93"/>
  <c r="K86"/>
  <c r="K88"/>
  <c r="K60"/>
  <c r="K61"/>
  <c r="K62"/>
  <c r="K63"/>
  <c r="J64"/>
  <c r="K64"/>
  <c r="J65"/>
  <c r="K65"/>
  <c r="J67"/>
  <c r="K67"/>
  <c r="K68"/>
  <c r="K69"/>
  <c r="K70"/>
  <c r="K71"/>
  <c r="K72"/>
  <c r="K73"/>
  <c r="K74"/>
  <c r="K75"/>
  <c r="K76"/>
  <c r="K77"/>
  <c r="K78"/>
  <c r="K79"/>
  <c r="K81"/>
  <c r="J82"/>
  <c r="K82"/>
  <c r="K25"/>
  <c r="K26"/>
  <c r="K27"/>
  <c r="K28"/>
  <c r="K29"/>
  <c r="K30"/>
  <c r="K31"/>
  <c r="K35"/>
  <c r="K36"/>
  <c r="K37"/>
  <c r="K39"/>
  <c r="K40"/>
  <c r="K41"/>
  <c r="K42"/>
  <c r="K43"/>
  <c r="K44"/>
  <c r="K45"/>
  <c r="K46"/>
  <c r="K47"/>
  <c r="K48"/>
  <c r="J49"/>
  <c r="K49"/>
  <c r="K50"/>
  <c r="K51"/>
  <c r="K52"/>
  <c r="K53"/>
  <c r="K54"/>
  <c r="K55"/>
  <c r="K56"/>
  <c r="J12"/>
  <c r="J80"/>
  <c r="J88"/>
  <c r="J98"/>
  <c r="J117"/>
  <c r="I21"/>
  <c r="I127"/>
  <c r="I57"/>
  <c r="I83"/>
  <c r="I88"/>
  <c r="I98"/>
  <c r="I106"/>
  <c r="I112"/>
  <c r="I117"/>
  <c r="I123"/>
  <c r="H57"/>
  <c r="H83"/>
  <c r="H88"/>
  <c r="Q88"/>
  <c r="H94"/>
  <c r="H106"/>
  <c r="H117"/>
  <c r="H123"/>
  <c r="G21"/>
  <c r="G127"/>
  <c r="G57"/>
  <c r="G83"/>
  <c r="G88"/>
  <c r="G98"/>
  <c r="G106"/>
  <c r="G112"/>
  <c r="G117"/>
  <c r="G123"/>
  <c r="F21"/>
  <c r="F127"/>
  <c r="F57"/>
  <c r="F83"/>
  <c r="F88"/>
  <c r="F98"/>
  <c r="F106"/>
  <c r="F112"/>
  <c r="F117"/>
  <c r="F123"/>
  <c r="E21"/>
  <c r="E127"/>
  <c r="E57"/>
  <c r="E83"/>
  <c r="E88"/>
  <c r="E98"/>
  <c r="E106"/>
  <c r="E112"/>
  <c r="E117"/>
  <c r="E123"/>
  <c r="D21"/>
  <c r="D127"/>
  <c r="D57"/>
  <c r="D83"/>
  <c r="D88"/>
  <c r="D98"/>
  <c r="D106"/>
  <c r="D112"/>
  <c r="D117"/>
  <c r="D123"/>
  <c r="C21"/>
  <c r="C127"/>
  <c r="C57"/>
  <c r="C83"/>
  <c r="C88"/>
  <c r="C98"/>
  <c r="C106"/>
  <c r="C112"/>
  <c r="C117"/>
  <c r="C123"/>
  <c r="T25"/>
  <c r="T26"/>
  <c r="T57"/>
  <c r="T42"/>
  <c r="T44"/>
  <c r="A46"/>
  <c r="J112"/>
  <c r="L98"/>
  <c r="L125"/>
  <c r="J106"/>
  <c r="K38"/>
  <c r="J57"/>
  <c r="L105"/>
  <c r="L106"/>
  <c r="Q106"/>
  <c r="Q83"/>
  <c r="K112"/>
  <c r="Q123"/>
  <c r="L21"/>
  <c r="L127"/>
  <c r="K98"/>
  <c r="P98"/>
  <c r="P125"/>
  <c r="D125"/>
  <c r="D128"/>
  <c r="D129"/>
  <c r="K57"/>
  <c r="H98"/>
  <c r="I125"/>
  <c r="E125"/>
  <c r="E128"/>
  <c r="E129"/>
  <c r="K10"/>
  <c r="O21"/>
  <c r="O127"/>
  <c r="F125"/>
  <c r="F128"/>
  <c r="G125"/>
  <c r="G128"/>
  <c r="G129"/>
  <c r="C125"/>
  <c r="C128"/>
  <c r="C129"/>
  <c r="K123"/>
  <c r="H112"/>
  <c r="Q112"/>
  <c r="I128"/>
  <c r="I129"/>
  <c r="K106"/>
  <c r="J21"/>
  <c r="J127"/>
  <c r="Q117"/>
  <c r="M98"/>
  <c r="M128"/>
  <c r="M129"/>
  <c r="O91"/>
  <c r="O98"/>
  <c r="O128"/>
  <c r="P128"/>
  <c r="Q57"/>
  <c r="P129"/>
  <c r="K83"/>
  <c r="N129"/>
  <c r="F129"/>
  <c r="N125"/>
  <c r="J123"/>
  <c r="K9"/>
  <c r="K21"/>
  <c r="K127"/>
  <c r="N128"/>
  <c r="H125"/>
  <c r="J83"/>
  <c r="L128"/>
  <c r="L129"/>
  <c r="Q98"/>
  <c r="H128"/>
  <c r="H129"/>
  <c r="K125"/>
  <c r="K128"/>
  <c r="K129"/>
  <c r="M125"/>
  <c r="O129"/>
  <c r="O125"/>
  <c r="J125"/>
  <c r="J128"/>
  <c r="J129"/>
  <c r="Q125"/>
  <c r="B11" i="4"/>
  <c r="D2"/>
  <c r="B12"/>
  <c r="B6" i="2"/>
  <c r="B14"/>
  <c r="B102"/>
  <c r="B104"/>
  <c r="B38"/>
  <c r="B40"/>
  <c r="B100"/>
  <c r="B45"/>
  <c r="B60"/>
  <c r="B65"/>
  <c r="B74"/>
  <c r="B87"/>
  <c r="B92"/>
  <c r="B95"/>
  <c r="B98"/>
  <c r="B81"/>
</calcChain>
</file>

<file path=xl/sharedStrings.xml><?xml version="1.0" encoding="utf-8"?>
<sst xmlns="http://schemas.openxmlformats.org/spreadsheetml/2006/main" count="343" uniqueCount="194">
  <si>
    <t>Form Fee -New Owners</t>
  </si>
  <si>
    <t>Legal/ Collection Fees</t>
  </si>
  <si>
    <t>Miscellaneous Income</t>
  </si>
  <si>
    <t>Election</t>
  </si>
  <si>
    <t>Advertising</t>
  </si>
  <si>
    <t>Office Leases</t>
  </si>
  <si>
    <t>Bank Charge</t>
  </si>
  <si>
    <t>Legal Expense</t>
  </si>
  <si>
    <t>Collection Expense</t>
  </si>
  <si>
    <t>Tech Support</t>
  </si>
  <si>
    <t>Computers/ Software</t>
  </si>
  <si>
    <t>License &amp; Permits</t>
  </si>
  <si>
    <t>Membershp &amp; Board Meetings</t>
  </si>
  <si>
    <t>Special Events - Other</t>
  </si>
  <si>
    <t>Office Equipment</t>
  </si>
  <si>
    <t>Telephone</t>
  </si>
  <si>
    <t>Maintenance and Repairs</t>
  </si>
  <si>
    <t>Maintenance Supplies</t>
  </si>
  <si>
    <t>Water Heater</t>
  </si>
  <si>
    <t>Plumbing</t>
  </si>
  <si>
    <t>Exterminating</t>
  </si>
  <si>
    <t>Fuel</t>
  </si>
  <si>
    <t>Trail/Road Maintenance</t>
  </si>
  <si>
    <t>Shelter Maintenance</t>
  </si>
  <si>
    <t>Grounds Contract</t>
  </si>
  <si>
    <t>Contracted Labor</t>
  </si>
  <si>
    <t>Association Unit</t>
  </si>
  <si>
    <t>Unit Taxes</t>
  </si>
  <si>
    <t>Total Association  Unit</t>
  </si>
  <si>
    <t>Payroll Expense</t>
  </si>
  <si>
    <t>Maintenance Salaries</t>
  </si>
  <si>
    <t>Office salaries</t>
  </si>
  <si>
    <t>Contract Hire</t>
  </si>
  <si>
    <t>Employee Health Benefits</t>
  </si>
  <si>
    <t>Payroll Related</t>
  </si>
  <si>
    <t>Total Payroll Expenses</t>
  </si>
  <si>
    <t>Gas</t>
  </si>
  <si>
    <t>Cable/Internet</t>
  </si>
  <si>
    <t>Financial</t>
  </si>
  <si>
    <t>Bad Debt</t>
  </si>
  <si>
    <t>Total Financial</t>
  </si>
  <si>
    <t>Special Events -4th of July</t>
  </si>
  <si>
    <t>Clean Up Day:Spring / Fall</t>
  </si>
  <si>
    <t>Deductible</t>
  </si>
  <si>
    <t>Copying</t>
  </si>
  <si>
    <t>Contingency GL</t>
  </si>
  <si>
    <t>Advertising Income</t>
  </si>
  <si>
    <t xml:space="preserve">Landscaping </t>
  </si>
  <si>
    <t>Pond Maintenance</t>
  </si>
  <si>
    <t>ACTUAL</t>
  </si>
  <si>
    <t>*Healthcare contribution by association will be 50% of single coverage if the employee elects coverage.</t>
  </si>
  <si>
    <t>Sesaonal</t>
  </si>
  <si>
    <t>Maintenance Supervisor*</t>
  </si>
  <si>
    <t>On-Site Property Manager*</t>
  </si>
  <si>
    <t>Healthcare Related Expenses</t>
  </si>
  <si>
    <t>Position</t>
  </si>
  <si>
    <t>Status</t>
  </si>
  <si>
    <t>duration</t>
  </si>
  <si>
    <t>16 weeks</t>
  </si>
  <si>
    <t>weekly hours</t>
  </si>
  <si>
    <t>26 weeks</t>
  </si>
  <si>
    <t>AWR</t>
  </si>
  <si>
    <t>dulcet fountains  only as of 2015</t>
  </si>
  <si>
    <t>shop tools, yard tools, bobcat &amp; pug maint, truck maint</t>
  </si>
  <si>
    <t>karen house &amp; barn (gutters - 2016)</t>
  </si>
  <si>
    <t>crack filling, patching, weed killer, bridge maint</t>
  </si>
  <si>
    <t>plants, mulch (done in 2015), contract hire (hartmans)  - obelisk, silo &amp; gazebo</t>
  </si>
  <si>
    <t>jim steele - large trees rest done in house</t>
  </si>
  <si>
    <t>Consulting</t>
  </si>
  <si>
    <t>hellmuth legal consults</t>
  </si>
  <si>
    <t>collection costs with fuller</t>
  </si>
  <si>
    <t>new computer/laptop 2016</t>
  </si>
  <si>
    <t xml:space="preserve">orientation meeting, </t>
  </si>
  <si>
    <t>awards, pies/food etc. @ annual meeting.</t>
  </si>
  <si>
    <t>coffee, water, cookies, candy etc. for the karen house</t>
  </si>
  <si>
    <t>postcards, maps, biffs</t>
  </si>
  <si>
    <t xml:space="preserve">postcards, benz pickup, </t>
  </si>
  <si>
    <t>reimb owners $150/community for participating</t>
  </si>
  <si>
    <t>qrtly newsletters</t>
  </si>
  <si>
    <t>mailings, statements, violation letters</t>
  </si>
  <si>
    <t>cleaning 2x's, wash windows spring</t>
  </si>
  <si>
    <t>cell phone stipend</t>
  </si>
  <si>
    <t>2 labors @ $15.00 (12 weeks), 1 gardener @ $15.00 (april 15 - Oct 30), plus 1 - 2 seasonal @ $10-12/hour)</t>
  </si>
  <si>
    <t>3% increase</t>
  </si>
  <si>
    <t>ins &amp; volunteer coverage</t>
  </si>
  <si>
    <t>benz contract expires 2018 - no increase in those years</t>
  </si>
  <si>
    <t>per reserve study 275200</t>
  </si>
  <si>
    <t>refund of 75% of dues</t>
  </si>
  <si>
    <t>INCOME</t>
  </si>
  <si>
    <t>TOTAL INCOME</t>
  </si>
  <si>
    <t>EXPENSES</t>
  </si>
  <si>
    <t>Administrative Expense</t>
  </si>
  <si>
    <t>TOTAL MAINTENANCE</t>
  </si>
  <si>
    <t>TOTAL INSURANCE</t>
  </si>
  <si>
    <t>Maintenance Expense</t>
  </si>
  <si>
    <t>Insurance Expense</t>
  </si>
  <si>
    <t>TOTAL OTHER</t>
  </si>
  <si>
    <t>TOTAL EXPENSES</t>
  </si>
  <si>
    <t>TOTAL PROFIT (LOSS)</t>
  </si>
  <si>
    <t>TOTAL ADMINISTRATIVE</t>
  </si>
  <si>
    <t>Reserve Contribution</t>
  </si>
  <si>
    <t>Reserve Interest</t>
  </si>
  <si>
    <t>Workers' Comp.</t>
  </si>
  <si>
    <t>Refuse Removal</t>
  </si>
  <si>
    <t>Office Supplies</t>
  </si>
  <si>
    <t>Postage</t>
  </si>
  <si>
    <t>Management Fees</t>
  </si>
  <si>
    <t>Audit/Taxes</t>
  </si>
  <si>
    <t>Association Fees</t>
  </si>
  <si>
    <t>Late Fees</t>
  </si>
  <si>
    <t>2004 Budget</t>
  </si>
  <si>
    <t>Draft</t>
  </si>
  <si>
    <t>Fee $264.75/Mo</t>
  </si>
  <si>
    <t>Reserve Investment Income</t>
  </si>
  <si>
    <t>Over (Under)</t>
  </si>
  <si>
    <t>Utility Expense</t>
  </si>
  <si>
    <t>Water/Sewer</t>
  </si>
  <si>
    <t>TOTAL UTILITIES</t>
  </si>
  <si>
    <t>Commerical Insurance</t>
  </si>
  <si>
    <t>Other Expenses</t>
  </si>
  <si>
    <t>2006 Budget</t>
  </si>
  <si>
    <t>Preliminary</t>
  </si>
  <si>
    <t>Investment Income</t>
  </si>
  <si>
    <t>Building Repairs</t>
  </si>
  <si>
    <t>Snow Removal</t>
  </si>
  <si>
    <t>Irrigation System</t>
  </si>
  <si>
    <t>Electric</t>
  </si>
  <si>
    <t>PROJECTED</t>
  </si>
  <si>
    <t>APPROVED</t>
  </si>
  <si>
    <t>The Jonathan Association</t>
  </si>
  <si>
    <t>Multiple Dwellings</t>
  </si>
  <si>
    <t>Seasonal Maintenance Assistant III</t>
    <phoneticPr fontId="5" type="noConversion"/>
  </si>
  <si>
    <t>Office Assistant</t>
    <phoneticPr fontId="5" type="noConversion"/>
  </si>
  <si>
    <t>FTE 1.0</t>
    <phoneticPr fontId="5" type="noConversion"/>
  </si>
  <si>
    <t>Office</t>
    <phoneticPr fontId="5" type="noConversion"/>
  </si>
  <si>
    <t>Maintenance</t>
    <phoneticPr fontId="5" type="noConversion"/>
  </si>
  <si>
    <t>gas for all vehicles</t>
    <phoneticPr fontId="0" type="noConversion"/>
  </si>
  <si>
    <t>Carver Green - 16 units; Highpoint - 8 units; Hazeltine Shores - 4 units</t>
  </si>
  <si>
    <t>assuming contested election</t>
  </si>
  <si>
    <t>JR consults &amp; website</t>
  </si>
  <si>
    <t>santa &amp; Reindeer, barista, treats, prizes tent &amp; heaters</t>
  </si>
  <si>
    <t>copier</t>
  </si>
  <si>
    <t xml:space="preserve">2016 Actual </t>
  </si>
  <si>
    <t>2017 Budget</t>
  </si>
  <si>
    <t>BUDGET YEAR BEGINNING JANUARY 1, 2017</t>
  </si>
  <si>
    <t>working capital</t>
  </si>
  <si>
    <t>Dues</t>
  </si>
  <si>
    <t>education</t>
  </si>
  <si>
    <t>reserve study update 2016</t>
  </si>
  <si>
    <t>work above contract - tree trimming, storm clean up etc.</t>
  </si>
  <si>
    <t>2595 Units x $annual</t>
  </si>
  <si>
    <t>574 Units x $annual</t>
  </si>
  <si>
    <t>50th and 4th comb</t>
  </si>
  <si>
    <t xml:space="preserve">What hits this line? </t>
  </si>
  <si>
    <t>no need for a slush fund</t>
  </si>
  <si>
    <t>insurance of 80% of single converage only if employee elects coverage</t>
  </si>
  <si>
    <t>52000 property manager and $6,000 for 1 customer service helper ~12 weeks</t>
  </si>
  <si>
    <t>50000 FT maint sup</t>
  </si>
  <si>
    <t>bring this inhouse vs homewise to pay for office help</t>
  </si>
  <si>
    <t>FTE 1.0</t>
    <phoneticPr fontId="5" type="noConversion"/>
  </si>
  <si>
    <t>2017 Proposed</t>
    <phoneticPr fontId="5" type="noConversion"/>
  </si>
  <si>
    <t>FTE 1.0</t>
    <phoneticPr fontId="5" type="noConversion"/>
  </si>
  <si>
    <t>Gardener</t>
    <phoneticPr fontId="5" type="noConversion"/>
  </si>
  <si>
    <t>Seasonal Maintenance Assistant I</t>
    <phoneticPr fontId="5" type="noConversion"/>
  </si>
  <si>
    <t>Seasonal Maintenance Assistant II</t>
    <phoneticPr fontId="5" type="noConversion"/>
  </si>
  <si>
    <t>N / A</t>
  </si>
  <si>
    <t>Tools &amp; Equipment Maintenance</t>
  </si>
  <si>
    <t>Security/Alarms/Keys</t>
  </si>
  <si>
    <t>Misc Administrative</t>
  </si>
  <si>
    <t>Awards</t>
  </si>
  <si>
    <t>Misc Non-Grounds Contract</t>
  </si>
  <si>
    <t>Newsletter/Postcard Mailings</t>
  </si>
  <si>
    <t>Tree Maintenance</t>
  </si>
  <si>
    <t>Contingency Expense</t>
  </si>
  <si>
    <t>2013 Approved Budget - Begins 01/01/2013</t>
  </si>
  <si>
    <t>Hospitality</t>
  </si>
  <si>
    <t>Newsletter</t>
  </si>
  <si>
    <t>Cleaning Supplies</t>
  </si>
  <si>
    <t>Penalties/Fines</t>
  </si>
  <si>
    <t>Committee Expenses</t>
  </si>
  <si>
    <t>Other Utilties</t>
  </si>
  <si>
    <t>Clean Up Day:Fall</t>
  </si>
  <si>
    <t xml:space="preserve">Clean Up Day:Spring </t>
  </si>
  <si>
    <t>Community Garage Sale</t>
  </si>
  <si>
    <t xml:space="preserve">National Night Out </t>
  </si>
  <si>
    <t>Special Event-Cocoa &amp; Coasting</t>
  </si>
  <si>
    <t>FOOT NOTES/EXPLANATION</t>
  </si>
  <si>
    <t>Annual increase of 5% per contract thru 10/31/17</t>
  </si>
  <si>
    <t>Approved</t>
  </si>
  <si>
    <t>janitorial/ window washing</t>
  </si>
  <si>
    <t>Recreational</t>
  </si>
  <si>
    <t>health dept license</t>
  </si>
  <si>
    <t>doggi pots, bags, misc maint supplies</t>
  </si>
  <si>
    <t>paint, shingles, replacement wood, plexi-glass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</si>
</sst>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_(&quot;$&quot;* #,##0_);_(&quot;$&quot;* \(#,##0\);_(&quot;$&quot;* &quot;-&quot;??_);_(@_)"/>
  </numFmts>
  <fonts count="7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8"/>
      <name val="Verdana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1">
    <xf numFmtId="0" fontId="0" fillId="0" borderId="0" xfId="0"/>
    <xf numFmtId="39" fontId="3" fillId="0" borderId="1" xfId="0" applyNumberFormat="1" applyFont="1" applyBorder="1"/>
    <xf numFmtId="39" fontId="2" fillId="2" borderId="1" xfId="0" applyNumberFormat="1" applyFont="1" applyFill="1" applyBorder="1"/>
    <xf numFmtId="39" fontId="3" fillId="0" borderId="1" xfId="0" applyNumberFormat="1" applyFont="1" applyFill="1" applyBorder="1"/>
    <xf numFmtId="39" fontId="2" fillId="0" borderId="1" xfId="0" applyNumberFormat="1" applyFont="1" applyFill="1" applyBorder="1"/>
    <xf numFmtId="39" fontId="3" fillId="0" borderId="1" xfId="0" applyNumberFormat="1" applyFont="1" applyBorder="1" applyAlignment="1">
      <alignment wrapText="1"/>
    </xf>
    <xf numFmtId="39" fontId="2" fillId="0" borderId="1" xfId="0" applyNumberFormat="1" applyFont="1" applyBorder="1" applyAlignment="1">
      <alignment wrapText="1"/>
    </xf>
    <xf numFmtId="39" fontId="4" fillId="0" borderId="1" xfId="0" applyNumberFormat="1" applyFont="1" applyBorder="1" applyAlignment="1">
      <alignment wrapText="1"/>
    </xf>
    <xf numFmtId="39" fontId="2" fillId="2" borderId="1" xfId="0" applyNumberFormat="1" applyFont="1" applyFill="1" applyBorder="1" applyAlignment="1">
      <alignment wrapText="1"/>
    </xf>
    <xf numFmtId="39" fontId="2" fillId="0" borderId="1" xfId="0" applyNumberFormat="1" applyFont="1" applyFill="1" applyBorder="1" applyAlignment="1">
      <alignment wrapText="1"/>
    </xf>
    <xf numFmtId="39" fontId="3" fillId="0" borderId="1" xfId="0" applyNumberFormat="1" applyFont="1" applyFill="1" applyBorder="1" applyAlignment="1">
      <alignment wrapText="1"/>
    </xf>
    <xf numFmtId="39" fontId="3" fillId="3" borderId="1" xfId="0" applyNumberFormat="1" applyFont="1" applyFill="1" applyBorder="1"/>
    <xf numFmtId="39" fontId="3" fillId="3" borderId="1" xfId="0" applyNumberFormat="1" applyFont="1" applyFill="1" applyBorder="1" applyAlignment="1">
      <alignment wrapText="1"/>
    </xf>
    <xf numFmtId="39" fontId="3" fillId="0" borderId="14" xfId="0" applyNumberFormat="1" applyFont="1" applyBorder="1" applyAlignment="1">
      <alignment wrapText="1"/>
    </xf>
    <xf numFmtId="39" fontId="3" fillId="0" borderId="14" xfId="0" applyNumberFormat="1" applyFont="1" applyBorder="1"/>
    <xf numFmtId="39" fontId="2" fillId="0" borderId="7" xfId="0" applyNumberFormat="1" applyFont="1" applyBorder="1" applyAlignment="1">
      <alignment wrapText="1"/>
    </xf>
    <xf numFmtId="39" fontId="2" fillId="0" borderId="9" xfId="0" applyNumberFormat="1" applyFont="1" applyBorder="1"/>
    <xf numFmtId="39" fontId="2" fillId="0" borderId="10" xfId="0" applyNumberFormat="1" applyFont="1" applyBorder="1" applyAlignment="1">
      <alignment wrapText="1"/>
    </xf>
    <xf numFmtId="39" fontId="2" fillId="0" borderId="15" xfId="0" applyNumberFormat="1" applyFont="1" applyBorder="1"/>
    <xf numFmtId="39" fontId="2" fillId="0" borderId="11" xfId="0" applyNumberFormat="1" applyFont="1" applyBorder="1" applyAlignment="1">
      <alignment wrapText="1"/>
    </xf>
    <xf numFmtId="39" fontId="2" fillId="0" borderId="12" xfId="0" applyNumberFormat="1" applyFont="1" applyBorder="1"/>
    <xf numFmtId="39" fontId="2" fillId="0" borderId="0" xfId="0" applyNumberFormat="1" applyFont="1" applyBorder="1" applyAlignment="1"/>
    <xf numFmtId="39" fontId="3" fillId="0" borderId="1" xfId="0" applyNumberFormat="1" applyFont="1" applyBorder="1" applyAlignment="1">
      <alignment horizontal="right"/>
    </xf>
    <xf numFmtId="0" fontId="0" fillId="0" borderId="1" xfId="0" applyBorder="1"/>
    <xf numFmtId="0" fontId="0" fillId="0" borderId="17" xfId="0" applyBorder="1"/>
    <xf numFmtId="165" fontId="0" fillId="0" borderId="18" xfId="0" applyNumberFormat="1" applyBorder="1"/>
    <xf numFmtId="0" fontId="0" fillId="0" borderId="19" xfId="0" applyBorder="1"/>
    <xf numFmtId="165" fontId="0" fillId="0" borderId="20" xfId="0" applyNumberFormat="1" applyBorder="1"/>
    <xf numFmtId="0" fontId="0" fillId="0" borderId="21" xfId="0" applyBorder="1"/>
    <xf numFmtId="6" fontId="0" fillId="0" borderId="22" xfId="0" applyNumberFormat="1" applyBorder="1"/>
    <xf numFmtId="0" fontId="0" fillId="0" borderId="23" xfId="0" applyBorder="1"/>
    <xf numFmtId="0" fontId="0" fillId="0" borderId="0" xfId="0" applyBorder="1"/>
    <xf numFmtId="165" fontId="0" fillId="0" borderId="0" xfId="2" applyNumberFormat="1" applyFont="1" applyBorder="1"/>
    <xf numFmtId="0" fontId="0" fillId="0" borderId="24" xfId="0" applyBorder="1"/>
    <xf numFmtId="0" fontId="0" fillId="0" borderId="22" xfId="0" applyBorder="1"/>
    <xf numFmtId="0" fontId="0" fillId="0" borderId="21" xfId="0" quotePrefix="1" applyBorder="1"/>
    <xf numFmtId="0" fontId="0" fillId="0" borderId="2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20" xfId="0" applyFont="1" applyBorder="1" applyAlignment="1">
      <alignment horizontal="right"/>
    </xf>
    <xf numFmtId="0" fontId="3" fillId="0" borderId="0" xfId="0" applyFont="1" applyFill="1"/>
    <xf numFmtId="39" fontId="3" fillId="0" borderId="0" xfId="0" applyNumberFormat="1" applyFont="1" applyFill="1"/>
    <xf numFmtId="0" fontId="3" fillId="0" borderId="1" xfId="0" applyFont="1" applyFill="1" applyBorder="1"/>
    <xf numFmtId="3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9" fontId="2" fillId="0" borderId="0" xfId="0" applyNumberFormat="1" applyFont="1" applyFill="1" applyAlignment="1">
      <alignment horizontal="center"/>
    </xf>
    <xf numFmtId="0" fontId="2" fillId="4" borderId="1" xfId="0" applyFont="1" applyFill="1" applyBorder="1"/>
    <xf numFmtId="39" fontId="2" fillId="0" borderId="3" xfId="0" applyNumberFormat="1" applyFont="1" applyFill="1" applyBorder="1" applyAlignment="1">
      <alignment horizontal="center" wrapText="1"/>
    </xf>
    <xf numFmtId="39" fontId="2" fillId="0" borderId="3" xfId="0" applyNumberFormat="1" applyFont="1" applyFill="1" applyBorder="1" applyAlignment="1">
      <alignment horizontal="center"/>
    </xf>
    <xf numFmtId="14" fontId="2" fillId="4" borderId="3" xfId="0" quotePrefix="1" applyNumberFormat="1" applyFont="1" applyFill="1" applyBorder="1" applyAlignment="1">
      <alignment horizontal="center"/>
    </xf>
    <xf numFmtId="39" fontId="2" fillId="0" borderId="2" xfId="0" applyNumberFormat="1" applyFont="1" applyFill="1" applyBorder="1" applyAlignment="1">
      <alignment wrapText="1"/>
    </xf>
    <xf numFmtId="44" fontId="2" fillId="0" borderId="2" xfId="2" applyFont="1" applyFill="1" applyBorder="1" applyAlignment="1">
      <alignment horizontal="center"/>
    </xf>
    <xf numFmtId="39" fontId="2" fillId="0" borderId="2" xfId="0" applyNumberFormat="1" applyFont="1" applyFill="1" applyBorder="1" applyAlignment="1">
      <alignment horizontal="right"/>
    </xf>
    <xf numFmtId="0" fontId="2" fillId="0" borderId="1" xfId="0" applyFont="1" applyFill="1" applyBorder="1"/>
    <xf numFmtId="44" fontId="3" fillId="0" borderId="1" xfId="0" applyNumberFormat="1" applyFont="1" applyFill="1" applyBorder="1"/>
    <xf numFmtId="44" fontId="3" fillId="0" borderId="0" xfId="0" applyNumberFormat="1" applyFont="1" applyFill="1"/>
    <xf numFmtId="39" fontId="4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left"/>
    </xf>
    <xf numFmtId="44" fontId="3" fillId="0" borderId="1" xfId="2" applyFont="1" applyFill="1" applyBorder="1"/>
    <xf numFmtId="43" fontId="3" fillId="0" borderId="1" xfId="1" applyFont="1" applyFill="1" applyBorder="1"/>
    <xf numFmtId="39" fontId="3" fillId="0" borderId="1" xfId="0" applyNumberFormat="1" applyFont="1" applyFill="1" applyBorder="1" applyAlignment="1">
      <alignment horizontal="right"/>
    </xf>
    <xf numFmtId="39" fontId="3" fillId="0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164" fontId="2" fillId="0" borderId="1" xfId="0" applyNumberFormat="1" applyFont="1" applyFill="1" applyBorder="1" applyAlignment="1">
      <alignment horizontal="left"/>
    </xf>
    <xf numFmtId="9" fontId="3" fillId="0" borderId="1" xfId="0" applyNumberFormat="1" applyFont="1" applyFill="1" applyBorder="1"/>
    <xf numFmtId="0" fontId="3" fillId="5" borderId="1" xfId="0" applyFont="1" applyFill="1" applyBorder="1"/>
    <xf numFmtId="39" fontId="3" fillId="0" borderId="1" xfId="0" applyNumberFormat="1" applyFont="1" applyFill="1" applyBorder="1" applyAlignment="1">
      <alignment horizontal="left"/>
    </xf>
    <xf numFmtId="39" fontId="3" fillId="0" borderId="14" xfId="0" applyNumberFormat="1" applyFont="1" applyFill="1" applyBorder="1" applyAlignment="1">
      <alignment wrapText="1"/>
    </xf>
    <xf numFmtId="39" fontId="3" fillId="0" borderId="14" xfId="0" applyNumberFormat="1" applyFont="1" applyFill="1" applyBorder="1"/>
    <xf numFmtId="39" fontId="3" fillId="0" borderId="13" xfId="0" applyNumberFormat="1" applyFont="1" applyFill="1" applyBorder="1" applyAlignment="1">
      <alignment horizontal="left"/>
    </xf>
    <xf numFmtId="39" fontId="2" fillId="0" borderId="7" xfId="0" applyNumberFormat="1" applyFont="1" applyFill="1" applyBorder="1" applyAlignment="1">
      <alignment wrapText="1"/>
    </xf>
    <xf numFmtId="39" fontId="2" fillId="0" borderId="8" xfId="0" applyNumberFormat="1" applyFont="1" applyFill="1" applyBorder="1" applyAlignment="1">
      <alignment wrapText="1"/>
    </xf>
    <xf numFmtId="39" fontId="2" fillId="0" borderId="8" xfId="0" applyNumberFormat="1" applyFont="1" applyFill="1" applyBorder="1"/>
    <xf numFmtId="39" fontId="2" fillId="0" borderId="9" xfId="0" applyNumberFormat="1" applyFont="1" applyFill="1" applyBorder="1"/>
    <xf numFmtId="39" fontId="2" fillId="0" borderId="10" xfId="0" applyNumberFormat="1" applyFont="1" applyFill="1" applyBorder="1" applyAlignment="1">
      <alignment wrapText="1"/>
    </xf>
    <xf numFmtId="39" fontId="2" fillId="0" borderId="15" xfId="0" applyNumberFormat="1" applyFont="1" applyFill="1" applyBorder="1"/>
    <xf numFmtId="39" fontId="2" fillId="0" borderId="11" xfId="0" applyNumberFormat="1" applyFont="1" applyFill="1" applyBorder="1" applyAlignment="1">
      <alignment wrapText="1"/>
    </xf>
    <xf numFmtId="39" fontId="2" fillId="0" borderId="3" xfId="0" applyNumberFormat="1" applyFont="1" applyFill="1" applyBorder="1" applyAlignment="1">
      <alignment wrapText="1"/>
    </xf>
    <xf numFmtId="39" fontId="2" fillId="0" borderId="3" xfId="0" applyNumberFormat="1" applyFont="1" applyFill="1" applyBorder="1"/>
    <xf numFmtId="39" fontId="2" fillId="0" borderId="12" xfId="0" applyNumberFormat="1" applyFont="1" applyFill="1" applyBorder="1"/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/>
    <xf numFmtId="0" fontId="2" fillId="0" borderId="0" xfId="0" applyFont="1" applyFill="1" applyAlignment="1">
      <alignment horizontal="left"/>
    </xf>
    <xf numFmtId="0" fontId="3" fillId="0" borderId="17" xfId="0" applyFont="1" applyBorder="1"/>
    <xf numFmtId="0" fontId="3" fillId="0" borderId="23" xfId="0" applyFont="1" applyBorder="1"/>
    <xf numFmtId="0" fontId="3" fillId="0" borderId="23" xfId="0" applyFont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43" fontId="3" fillId="0" borderId="0" xfId="1" applyFont="1" applyFill="1"/>
    <xf numFmtId="39" fontId="3" fillId="0" borderId="0" xfId="0" applyNumberFormat="1" applyFont="1" applyFill="1" applyAlignment="1">
      <alignment horizontal="right"/>
    </xf>
    <xf numFmtId="0" fontId="3" fillId="0" borderId="19" xfId="0" applyFont="1" applyBorder="1"/>
    <xf numFmtId="0" fontId="3" fillId="0" borderId="0" xfId="0" applyFont="1" applyBorder="1"/>
    <xf numFmtId="165" fontId="3" fillId="0" borderId="0" xfId="2" applyNumberFormat="1" applyFont="1" applyBorder="1"/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39" fontId="3" fillId="0" borderId="0" xfId="0" applyNumberFormat="1" applyFont="1" applyFill="1" applyAlignment="1"/>
    <xf numFmtId="0" fontId="3" fillId="0" borderId="0" xfId="0" applyFont="1" applyFill="1" applyAlignment="1"/>
    <xf numFmtId="43" fontId="3" fillId="0" borderId="0" xfId="1" applyFont="1" applyFill="1" applyAlignment="1"/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21" xfId="0" quotePrefix="1" applyFont="1" applyBorder="1"/>
    <xf numFmtId="0" fontId="3" fillId="0" borderId="24" xfId="0" applyFont="1" applyBorder="1"/>
    <xf numFmtId="0" fontId="3" fillId="0" borderId="22" xfId="0" applyFont="1" applyBorder="1"/>
    <xf numFmtId="0" fontId="3" fillId="0" borderId="0" xfId="0" applyFont="1"/>
    <xf numFmtId="165" fontId="3" fillId="0" borderId="18" xfId="0" applyNumberFormat="1" applyFont="1" applyBorder="1"/>
    <xf numFmtId="165" fontId="3" fillId="0" borderId="20" xfId="0" applyNumberFormat="1" applyFont="1" applyBorder="1"/>
    <xf numFmtId="0" fontId="3" fillId="0" borderId="21" xfId="0" applyFont="1" applyBorder="1"/>
    <xf numFmtId="6" fontId="3" fillId="0" borderId="22" xfId="0" applyNumberFormat="1" applyFont="1" applyBorder="1"/>
    <xf numFmtId="39" fontId="2" fillId="0" borderId="0" xfId="0" applyNumberFormat="1" applyFont="1" applyFill="1" applyAlignment="1">
      <alignment horizontal="right"/>
    </xf>
    <xf numFmtId="39" fontId="2" fillId="0" borderId="0" xfId="0" applyNumberFormat="1" applyFont="1" applyFill="1" applyAlignment="1"/>
    <xf numFmtId="3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39" fontId="2" fillId="0" borderId="4" xfId="0" applyNumberFormat="1" applyFont="1" applyFill="1" applyBorder="1" applyAlignment="1"/>
    <xf numFmtId="39" fontId="2" fillId="0" borderId="0" xfId="0" applyNumberFormat="1" applyFont="1" applyFill="1" applyBorder="1" applyAlignment="1"/>
    <xf numFmtId="39" fontId="2" fillId="0" borderId="5" xfId="0" applyNumberFormat="1" applyFont="1" applyFill="1" applyBorder="1" applyAlignment="1"/>
    <xf numFmtId="39" fontId="2" fillId="0" borderId="6" xfId="0" applyNumberFormat="1" applyFont="1" applyFill="1" applyBorder="1" applyAlignment="1"/>
    <xf numFmtId="0" fontId="3" fillId="0" borderId="0" xfId="0" applyFont="1" applyFill="1" applyAlignment="1">
      <alignment wrapText="1"/>
    </xf>
    <xf numFmtId="39" fontId="2" fillId="0" borderId="1" xfId="0" applyNumberFormat="1" applyFont="1" applyFill="1" applyBorder="1" applyAlignment="1">
      <alignment horizontal="center"/>
    </xf>
    <xf numFmtId="39" fontId="2" fillId="4" borderId="1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39" fontId="2" fillId="0" borderId="13" xfId="0" applyNumberFormat="1" applyFont="1" applyBorder="1" applyAlignment="1">
      <alignment horizontal="center"/>
    </xf>
    <xf numFmtId="39" fontId="2" fillId="0" borderId="16" xfId="0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T269"/>
  <sheetViews>
    <sheetView showGridLines="0" tabSelected="1" topLeftCell="A25" zoomScale="70" zoomScaleNormal="70" zoomScaleSheetLayoutView="100" zoomScalePageLayoutView="70" workbookViewId="0">
      <selection activeCell="L118" sqref="A1:M1048576"/>
    </sheetView>
  </sheetViews>
  <sheetFormatPr baseColWidth="10" defaultColWidth="9.1640625" defaultRowHeight="15"/>
  <cols>
    <col min="1" max="1" width="7.1640625" style="44" bestFit="1" customWidth="1"/>
    <col min="2" max="2" width="33.1640625" style="124" customWidth="1"/>
    <col min="3" max="4" width="13.33203125" style="124" customWidth="1"/>
    <col min="5" max="8" width="13.5" style="44" customWidth="1"/>
    <col min="9" max="9" width="14.5" style="44" customWidth="1"/>
    <col min="10" max="10" width="15.5" style="44" customWidth="1"/>
    <col min="11" max="11" width="15.83203125" style="44" customWidth="1"/>
    <col min="12" max="12" width="14.1640625" style="44" bestFit="1" customWidth="1"/>
    <col min="13" max="13" width="15" style="44" hidden="1" customWidth="1"/>
    <col min="14" max="14" width="3.33203125" style="44" hidden="1" customWidth="1"/>
    <col min="15" max="15" width="13.83203125" style="45" hidden="1" customWidth="1"/>
    <col min="16" max="16" width="3.83203125" style="44" hidden="1" customWidth="1"/>
    <col min="17" max="17" width="16.5" style="44" customWidth="1"/>
    <col min="18" max="18" width="110" style="44" bestFit="1" customWidth="1"/>
    <col min="19" max="19" width="11.5" style="44" bestFit="1" customWidth="1"/>
    <col min="20" max="20" width="13" style="44" bestFit="1" customWidth="1"/>
    <col min="21" max="16384" width="9.1640625" style="44"/>
  </cols>
  <sheetData>
    <row r="1" spans="1:19" ht="15" customHeight="1">
      <c r="A1" s="125" t="s">
        <v>129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Q1" s="46"/>
      <c r="R1" s="46"/>
    </row>
    <row r="2" spans="1:19" ht="15" customHeight="1">
      <c r="A2" s="126" t="s">
        <v>144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Q2" s="46"/>
      <c r="R2" s="46"/>
    </row>
    <row r="3" spans="1:19" ht="1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47"/>
      <c r="Q3" s="46"/>
      <c r="R3" s="46"/>
    </row>
    <row r="4" spans="1:19" ht="13.5" customHeight="1">
      <c r="A4" s="3"/>
      <c r="B4" s="10"/>
      <c r="C4" s="10"/>
      <c r="D4" s="10"/>
      <c r="E4" s="4"/>
      <c r="F4" s="4"/>
      <c r="G4" s="4"/>
      <c r="H4" s="4"/>
      <c r="I4" s="3"/>
      <c r="J4" s="3"/>
      <c r="K4" s="3"/>
      <c r="L4" s="3"/>
      <c r="M4" s="46"/>
      <c r="Q4" s="46"/>
      <c r="R4" s="46"/>
    </row>
    <row r="5" spans="1:19">
      <c r="A5" s="3"/>
      <c r="B5" s="9"/>
      <c r="C5" s="48">
        <v>2011</v>
      </c>
      <c r="D5" s="48">
        <v>2012</v>
      </c>
      <c r="E5" s="49">
        <v>2013</v>
      </c>
      <c r="F5" s="49">
        <v>2014</v>
      </c>
      <c r="G5" s="49">
        <v>2015</v>
      </c>
      <c r="H5" s="49">
        <v>2016</v>
      </c>
      <c r="I5" s="47" t="s">
        <v>142</v>
      </c>
      <c r="J5" s="47" t="s">
        <v>142</v>
      </c>
      <c r="K5" s="47" t="s">
        <v>142</v>
      </c>
      <c r="L5" s="47" t="s">
        <v>143</v>
      </c>
      <c r="M5" s="50" t="s">
        <v>110</v>
      </c>
      <c r="O5" s="51" t="s">
        <v>120</v>
      </c>
      <c r="Q5" s="47"/>
      <c r="R5" s="52" t="s">
        <v>186</v>
      </c>
    </row>
    <row r="6" spans="1:19" ht="16" thickBot="1">
      <c r="A6" s="3"/>
      <c r="B6" s="9"/>
      <c r="C6" s="53" t="s">
        <v>49</v>
      </c>
      <c r="D6" s="53" t="s">
        <v>49</v>
      </c>
      <c r="E6" s="54" t="s">
        <v>49</v>
      </c>
      <c r="F6" s="54" t="s">
        <v>49</v>
      </c>
      <c r="G6" s="54" t="s">
        <v>49</v>
      </c>
      <c r="H6" s="54" t="s">
        <v>128</v>
      </c>
      <c r="I6" s="55">
        <v>42582</v>
      </c>
      <c r="J6" s="54" t="s">
        <v>127</v>
      </c>
      <c r="K6" s="54" t="s">
        <v>114</v>
      </c>
      <c r="L6" s="54" t="s">
        <v>188</v>
      </c>
      <c r="M6" s="50" t="s">
        <v>111</v>
      </c>
      <c r="O6" s="51" t="s">
        <v>121</v>
      </c>
      <c r="Q6" s="54"/>
      <c r="R6" s="46"/>
    </row>
    <row r="7" spans="1:19">
      <c r="A7" s="3"/>
      <c r="B7" s="9"/>
      <c r="C7" s="56"/>
      <c r="D7" s="56"/>
      <c r="E7" s="57">
        <v>248</v>
      </c>
      <c r="F7" s="57">
        <v>248</v>
      </c>
      <c r="G7" s="57">
        <v>248</v>
      </c>
      <c r="H7" s="57">
        <v>255</v>
      </c>
      <c r="I7" s="58"/>
      <c r="J7" s="58"/>
      <c r="K7" s="58"/>
      <c r="L7" s="57">
        <v>265</v>
      </c>
      <c r="M7" s="59" t="s">
        <v>112</v>
      </c>
      <c r="Q7" s="46"/>
      <c r="R7" s="60"/>
      <c r="S7" s="61"/>
    </row>
    <row r="8" spans="1:19">
      <c r="A8" s="3"/>
      <c r="B8" s="62" t="s">
        <v>88</v>
      </c>
      <c r="C8" s="62"/>
      <c r="D8" s="62"/>
      <c r="E8" s="4"/>
      <c r="F8" s="4"/>
      <c r="G8" s="4"/>
      <c r="H8" s="4"/>
      <c r="I8" s="4"/>
      <c r="J8" s="4"/>
      <c r="K8" s="4"/>
      <c r="L8" s="4"/>
      <c r="M8" s="46"/>
      <c r="Q8" s="46"/>
      <c r="R8" s="46"/>
    </row>
    <row r="9" spans="1:19">
      <c r="A9" s="63">
        <v>4200</v>
      </c>
      <c r="B9" s="10" t="s">
        <v>108</v>
      </c>
      <c r="C9" s="10">
        <v>567805.28</v>
      </c>
      <c r="D9" s="10">
        <v>598346.66</v>
      </c>
      <c r="E9" s="3">
        <v>632540.36</v>
      </c>
      <c r="F9" s="3">
        <v>632610.5</v>
      </c>
      <c r="G9" s="3">
        <v>626070.97</v>
      </c>
      <c r="H9" s="3">
        <f>2595*255</f>
        <v>661725</v>
      </c>
      <c r="I9" s="3">
        <v>379132.5</v>
      </c>
      <c r="J9" s="64">
        <f>+I9/7*12</f>
        <v>649941.42857142864</v>
      </c>
      <c r="K9" s="64">
        <f>+J9-H9</f>
        <v>-11783.571428571362</v>
      </c>
      <c r="L9" s="3">
        <f>2596*L7</f>
        <v>687940</v>
      </c>
      <c r="M9" s="65">
        <v>254160</v>
      </c>
      <c r="O9" s="45">
        <f>170*60*12</f>
        <v>122400</v>
      </c>
      <c r="Q9" s="3"/>
      <c r="R9" s="60" t="s">
        <v>150</v>
      </c>
    </row>
    <row r="10" spans="1:19">
      <c r="A10" s="63">
        <v>4202</v>
      </c>
      <c r="B10" s="10" t="s">
        <v>130</v>
      </c>
      <c r="C10" s="10">
        <v>150202.44</v>
      </c>
      <c r="D10" s="10">
        <v>155930.6</v>
      </c>
      <c r="E10" s="3">
        <v>163627.20000000001</v>
      </c>
      <c r="F10" s="3">
        <v>159659.15</v>
      </c>
      <c r="G10" s="3">
        <v>163627.20000000001</v>
      </c>
      <c r="H10" s="3">
        <f>574*255</f>
        <v>146370</v>
      </c>
      <c r="I10" s="3">
        <v>98175</v>
      </c>
      <c r="J10" s="64">
        <f t="shared" ref="J10:J19" si="0">+I10/7*12</f>
        <v>168300</v>
      </c>
      <c r="K10" s="64">
        <f>+J10-H10</f>
        <v>21930</v>
      </c>
      <c r="L10" s="3">
        <f>574*L7</f>
        <v>152110</v>
      </c>
      <c r="M10" s="4">
        <f>243.34*612.02</f>
        <v>148928.94680000001</v>
      </c>
      <c r="N10" s="4">
        <f>243.34*612.02</f>
        <v>148928.94680000001</v>
      </c>
      <c r="O10" s="4">
        <f>243.34*612.02</f>
        <v>148928.94680000001</v>
      </c>
      <c r="P10" s="4">
        <f>243.34*612.02</f>
        <v>148928.94680000001</v>
      </c>
      <c r="Q10" s="3"/>
      <c r="R10" s="60" t="s">
        <v>151</v>
      </c>
    </row>
    <row r="11" spans="1:19">
      <c r="A11" s="63">
        <v>4203</v>
      </c>
      <c r="B11" s="10" t="s">
        <v>87</v>
      </c>
      <c r="C11" s="10"/>
      <c r="D11" s="10"/>
      <c r="E11" s="3"/>
      <c r="F11" s="3"/>
      <c r="G11" s="3"/>
      <c r="H11" s="3">
        <v>-5523</v>
      </c>
      <c r="I11" s="3">
        <v>-3060</v>
      </c>
      <c r="J11" s="64">
        <v>-5523</v>
      </c>
      <c r="K11" s="64"/>
      <c r="L11" s="3">
        <v>-5523</v>
      </c>
      <c r="M11" s="4"/>
      <c r="N11" s="4"/>
      <c r="O11" s="4"/>
      <c r="P11" s="4"/>
      <c r="Q11" s="3"/>
      <c r="R11" s="60" t="s">
        <v>137</v>
      </c>
    </row>
    <row r="12" spans="1:19">
      <c r="A12" s="63">
        <v>4204</v>
      </c>
      <c r="B12" s="10" t="s">
        <v>145</v>
      </c>
      <c r="C12" s="10"/>
      <c r="D12" s="10"/>
      <c r="E12" s="3"/>
      <c r="F12" s="3"/>
      <c r="G12" s="3">
        <v>41.32</v>
      </c>
      <c r="H12" s="3"/>
      <c r="I12" s="3"/>
      <c r="J12" s="64">
        <f t="shared" si="0"/>
        <v>0</v>
      </c>
      <c r="K12" s="64"/>
      <c r="L12" s="3"/>
      <c r="M12" s="4"/>
      <c r="N12" s="4"/>
      <c r="O12" s="4"/>
      <c r="P12" s="4"/>
      <c r="Q12" s="3"/>
      <c r="R12" s="60"/>
    </row>
    <row r="13" spans="1:19">
      <c r="A13" s="63">
        <v>4305</v>
      </c>
      <c r="B13" s="10" t="s">
        <v>0</v>
      </c>
      <c r="C13" s="10">
        <v>4200</v>
      </c>
      <c r="D13" s="10">
        <v>6150</v>
      </c>
      <c r="E13" s="3">
        <v>5150</v>
      </c>
      <c r="F13" s="3">
        <v>3000</v>
      </c>
      <c r="G13" s="3"/>
      <c r="H13" s="3">
        <v>0</v>
      </c>
      <c r="I13" s="3"/>
      <c r="J13" s="64">
        <f t="shared" si="0"/>
        <v>0</v>
      </c>
      <c r="K13" s="64">
        <f t="shared" ref="K13:K20" si="1">+J13-H13</f>
        <v>0</v>
      </c>
      <c r="L13" s="3">
        <v>5000</v>
      </c>
      <c r="M13" s="3">
        <v>4300</v>
      </c>
      <c r="N13" s="3">
        <v>4300</v>
      </c>
      <c r="O13" s="3">
        <v>4300</v>
      </c>
      <c r="P13" s="3">
        <v>4300</v>
      </c>
      <c r="Q13" s="3"/>
      <c r="R13" s="46" t="s">
        <v>158</v>
      </c>
    </row>
    <row r="14" spans="1:19">
      <c r="A14" s="63">
        <v>4310</v>
      </c>
      <c r="B14" s="10" t="s">
        <v>109</v>
      </c>
      <c r="C14" s="10">
        <v>-199.77</v>
      </c>
      <c r="D14" s="10">
        <v>11694.72</v>
      </c>
      <c r="E14" s="3">
        <v>10695.91</v>
      </c>
      <c r="F14" s="3">
        <v>10683.63</v>
      </c>
      <c r="G14" s="3">
        <v>10623.96</v>
      </c>
      <c r="H14" s="3">
        <v>10500</v>
      </c>
      <c r="I14" s="3">
        <v>5864.12</v>
      </c>
      <c r="J14" s="64">
        <v>10500</v>
      </c>
      <c r="K14" s="64">
        <f t="shared" si="1"/>
        <v>0</v>
      </c>
      <c r="L14" s="3">
        <v>10500</v>
      </c>
      <c r="M14" s="3">
        <v>0</v>
      </c>
      <c r="N14" s="3">
        <v>0</v>
      </c>
      <c r="O14" s="3">
        <v>0</v>
      </c>
      <c r="P14" s="3">
        <v>0</v>
      </c>
      <c r="Q14" s="3"/>
      <c r="R14" s="46"/>
    </row>
    <row r="15" spans="1:19">
      <c r="A15" s="63">
        <v>4320</v>
      </c>
      <c r="B15" s="10" t="s">
        <v>1</v>
      </c>
      <c r="C15" s="10">
        <v>620</v>
      </c>
      <c r="D15" s="10">
        <v>3808.44</v>
      </c>
      <c r="E15" s="3">
        <v>1595.1</v>
      </c>
      <c r="F15" s="3">
        <v>13297.51</v>
      </c>
      <c r="G15" s="3">
        <v>17339.48</v>
      </c>
      <c r="H15" s="3">
        <v>15000</v>
      </c>
      <c r="I15" s="3">
        <v>28053.01</v>
      </c>
      <c r="J15" s="64">
        <v>35000</v>
      </c>
      <c r="K15" s="64">
        <f t="shared" si="1"/>
        <v>20000</v>
      </c>
      <c r="L15" s="3">
        <v>35000</v>
      </c>
      <c r="M15" s="3">
        <v>2000</v>
      </c>
      <c r="N15" s="3">
        <v>2000</v>
      </c>
      <c r="O15" s="3">
        <v>2000</v>
      </c>
      <c r="P15" s="3">
        <v>2000</v>
      </c>
      <c r="Q15" s="3"/>
      <c r="R15" s="46"/>
    </row>
    <row r="16" spans="1:19">
      <c r="A16" s="63">
        <v>4330</v>
      </c>
      <c r="B16" s="10" t="s">
        <v>178</v>
      </c>
      <c r="C16" s="10">
        <v>0</v>
      </c>
      <c r="D16" s="10">
        <v>0</v>
      </c>
      <c r="E16" s="3">
        <v>5120</v>
      </c>
      <c r="F16" s="3">
        <v>7300</v>
      </c>
      <c r="G16" s="3">
        <v>-12270</v>
      </c>
      <c r="H16" s="3">
        <v>0</v>
      </c>
      <c r="I16" s="3">
        <v>50</v>
      </c>
      <c r="J16" s="64">
        <v>85</v>
      </c>
      <c r="K16" s="64">
        <f t="shared" si="1"/>
        <v>85</v>
      </c>
      <c r="L16" s="3">
        <v>0</v>
      </c>
      <c r="M16" s="3"/>
      <c r="N16" s="3"/>
      <c r="O16" s="3"/>
      <c r="P16" s="3"/>
      <c r="Q16" s="3"/>
      <c r="R16" s="46"/>
    </row>
    <row r="17" spans="1:20">
      <c r="A17" s="63">
        <v>4420</v>
      </c>
      <c r="B17" s="10" t="s">
        <v>122</v>
      </c>
      <c r="C17" s="10">
        <v>4.67</v>
      </c>
      <c r="D17" s="10">
        <v>0</v>
      </c>
      <c r="E17" s="3">
        <v>42.8</v>
      </c>
      <c r="F17" s="3">
        <v>0</v>
      </c>
      <c r="G17" s="3">
        <v>27.36</v>
      </c>
      <c r="H17" s="66">
        <v>0</v>
      </c>
      <c r="I17" s="3">
        <v>23.08</v>
      </c>
      <c r="J17" s="64">
        <v>40</v>
      </c>
      <c r="K17" s="64">
        <f t="shared" si="1"/>
        <v>40</v>
      </c>
      <c r="L17" s="66">
        <v>0</v>
      </c>
      <c r="M17" s="67" t="s">
        <v>165</v>
      </c>
      <c r="N17" s="67" t="s">
        <v>165</v>
      </c>
      <c r="O17" s="67" t="s">
        <v>165</v>
      </c>
      <c r="P17" s="67" t="s">
        <v>165</v>
      </c>
      <c r="Q17" s="66"/>
      <c r="R17" s="46"/>
    </row>
    <row r="18" spans="1:20">
      <c r="A18" s="63">
        <v>4430</v>
      </c>
      <c r="B18" s="10" t="s">
        <v>113</v>
      </c>
      <c r="C18" s="10">
        <v>617.66999999999996</v>
      </c>
      <c r="D18" s="10">
        <v>188.71</v>
      </c>
      <c r="E18" s="3">
        <v>308.19</v>
      </c>
      <c r="F18" s="3">
        <v>413.96</v>
      </c>
      <c r="G18" s="3">
        <v>346.8</v>
      </c>
      <c r="H18" s="3">
        <v>500</v>
      </c>
      <c r="I18" s="3">
        <v>79.2</v>
      </c>
      <c r="J18" s="64">
        <v>135</v>
      </c>
      <c r="K18" s="64">
        <f t="shared" si="1"/>
        <v>-365</v>
      </c>
      <c r="L18" s="3">
        <v>350</v>
      </c>
      <c r="M18" s="3">
        <v>300</v>
      </c>
      <c r="N18" s="3">
        <v>300</v>
      </c>
      <c r="O18" s="3">
        <v>300</v>
      </c>
      <c r="P18" s="3">
        <v>300</v>
      </c>
      <c r="Q18" s="3"/>
      <c r="R18" s="46"/>
    </row>
    <row r="19" spans="1:20">
      <c r="A19" s="63">
        <v>4460</v>
      </c>
      <c r="B19" s="10" t="s">
        <v>46</v>
      </c>
      <c r="C19" s="10">
        <v>3396</v>
      </c>
      <c r="D19" s="10">
        <v>3177</v>
      </c>
      <c r="E19" s="3">
        <v>600</v>
      </c>
      <c r="F19" s="3">
        <v>0</v>
      </c>
      <c r="G19" s="3">
        <v>0</v>
      </c>
      <c r="H19" s="3">
        <v>0</v>
      </c>
      <c r="I19" s="3"/>
      <c r="J19" s="64">
        <f t="shared" si="0"/>
        <v>0</v>
      </c>
      <c r="K19" s="64">
        <f t="shared" si="1"/>
        <v>0</v>
      </c>
      <c r="L19" s="3">
        <v>0</v>
      </c>
      <c r="M19" s="3">
        <v>3500</v>
      </c>
      <c r="N19" s="3">
        <v>3500</v>
      </c>
      <c r="O19" s="3">
        <v>3500</v>
      </c>
      <c r="P19" s="3">
        <v>3500</v>
      </c>
      <c r="Q19" s="3"/>
      <c r="R19" s="46"/>
    </row>
    <row r="20" spans="1:20">
      <c r="A20" s="63">
        <v>4500</v>
      </c>
      <c r="B20" s="10" t="s">
        <v>2</v>
      </c>
      <c r="C20" s="10">
        <v>6597.88</v>
      </c>
      <c r="D20" s="10">
        <v>478</v>
      </c>
      <c r="E20" s="3">
        <v>520</v>
      </c>
      <c r="F20" s="3">
        <v>-550</v>
      </c>
      <c r="G20" s="3">
        <v>30.06</v>
      </c>
      <c r="H20" s="3">
        <v>50</v>
      </c>
      <c r="I20" s="3">
        <v>15</v>
      </c>
      <c r="J20" s="64">
        <v>50</v>
      </c>
      <c r="K20" s="64">
        <f t="shared" si="1"/>
        <v>0</v>
      </c>
      <c r="L20" s="3">
        <v>50</v>
      </c>
      <c r="M20" s="3">
        <v>0</v>
      </c>
      <c r="N20" s="3">
        <v>0</v>
      </c>
      <c r="O20" s="3">
        <v>0</v>
      </c>
      <c r="P20" s="3">
        <v>0</v>
      </c>
      <c r="Q20" s="3"/>
      <c r="R20" s="46"/>
    </row>
    <row r="21" spans="1:20">
      <c r="A21" s="63"/>
      <c r="B21" s="9" t="s">
        <v>89</v>
      </c>
      <c r="C21" s="9">
        <f t="shared" ref="C21:K21" si="2">SUM(C9:C20)</f>
        <v>733244.17</v>
      </c>
      <c r="D21" s="9">
        <f t="shared" si="2"/>
        <v>779774.12999999989</v>
      </c>
      <c r="E21" s="4">
        <f t="shared" si="2"/>
        <v>820199.56</v>
      </c>
      <c r="F21" s="4">
        <f t="shared" si="2"/>
        <v>826414.75</v>
      </c>
      <c r="G21" s="4">
        <f t="shared" si="2"/>
        <v>805837.14999999991</v>
      </c>
      <c r="H21" s="4">
        <f t="shared" ref="H21" si="3">SUM(H9:H20)</f>
        <v>828622</v>
      </c>
      <c r="I21" s="4">
        <f t="shared" si="2"/>
        <v>508331.91000000003</v>
      </c>
      <c r="J21" s="4">
        <f t="shared" si="2"/>
        <v>858528.42857142864</v>
      </c>
      <c r="K21" s="4">
        <f t="shared" si="2"/>
        <v>29906.428571428638</v>
      </c>
      <c r="L21" s="4">
        <f t="shared" ref="L21:P21" si="4">SUM(L9:L20)</f>
        <v>885427</v>
      </c>
      <c r="M21" s="4">
        <f t="shared" si="4"/>
        <v>413188.94680000003</v>
      </c>
      <c r="N21" s="4">
        <f t="shared" si="4"/>
        <v>159028.94680000001</v>
      </c>
      <c r="O21" s="4">
        <f t="shared" si="4"/>
        <v>281428.94680000003</v>
      </c>
      <c r="P21" s="4">
        <f t="shared" si="4"/>
        <v>159028.94680000001</v>
      </c>
      <c r="Q21" s="4"/>
      <c r="R21" s="46"/>
    </row>
    <row r="22" spans="1:20">
      <c r="A22" s="63"/>
      <c r="B22" s="10"/>
      <c r="C22" s="10"/>
      <c r="D22" s="1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6"/>
      <c r="R22" s="46"/>
    </row>
    <row r="23" spans="1:20">
      <c r="A23" s="63"/>
      <c r="B23" s="62" t="s">
        <v>90</v>
      </c>
      <c r="C23" s="62"/>
      <c r="D23" s="6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46"/>
      <c r="R23" s="46"/>
    </row>
    <row r="24" spans="1:20">
      <c r="A24" s="63"/>
      <c r="B24" s="9" t="s">
        <v>91</v>
      </c>
      <c r="C24" s="9"/>
      <c r="D24" s="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6"/>
      <c r="R24" s="46"/>
    </row>
    <row r="25" spans="1:20">
      <c r="A25" s="63">
        <v>5010</v>
      </c>
      <c r="B25" s="10" t="s">
        <v>107</v>
      </c>
      <c r="C25" s="10">
        <v>1905</v>
      </c>
      <c r="D25" s="10">
        <v>9070</v>
      </c>
      <c r="E25" s="3">
        <v>350</v>
      </c>
      <c r="F25" s="3">
        <v>6095</v>
      </c>
      <c r="G25" s="3">
        <v>5500</v>
      </c>
      <c r="H25" s="3">
        <v>7000</v>
      </c>
      <c r="I25" s="3">
        <v>5720</v>
      </c>
      <c r="J25" s="64">
        <v>5720</v>
      </c>
      <c r="K25" s="64">
        <f t="shared" ref="K25:K31" si="5">+J25-H25</f>
        <v>-1280</v>
      </c>
      <c r="L25" s="3">
        <v>6000</v>
      </c>
      <c r="M25" s="3">
        <v>5920</v>
      </c>
      <c r="N25" s="3">
        <v>5920</v>
      </c>
      <c r="O25" s="3">
        <v>5920</v>
      </c>
      <c r="P25" s="3">
        <v>5920</v>
      </c>
      <c r="Q25" s="3"/>
      <c r="R25" s="46"/>
      <c r="T25" s="45">
        <f>+Q25-L25</f>
        <v>-6000</v>
      </c>
    </row>
    <row r="26" spans="1:20">
      <c r="A26" s="63">
        <v>5012</v>
      </c>
      <c r="B26" s="10" t="s">
        <v>3</v>
      </c>
      <c r="C26" s="10">
        <v>21813.94</v>
      </c>
      <c r="D26" s="10">
        <v>14091.43</v>
      </c>
      <c r="E26" s="3">
        <v>4368</v>
      </c>
      <c r="F26" s="3">
        <v>4807.32</v>
      </c>
      <c r="G26" s="3">
        <v>12162.49</v>
      </c>
      <c r="H26" s="3">
        <v>2470</v>
      </c>
      <c r="I26" s="3">
        <v>2467.0300000000002</v>
      </c>
      <c r="J26" s="64">
        <v>2467</v>
      </c>
      <c r="K26" s="64">
        <f t="shared" si="5"/>
        <v>-3</v>
      </c>
      <c r="L26" s="3">
        <v>12000</v>
      </c>
      <c r="M26" s="3">
        <v>20500</v>
      </c>
      <c r="N26" s="3">
        <v>20500</v>
      </c>
      <c r="O26" s="3">
        <v>20500</v>
      </c>
      <c r="P26" s="3">
        <v>20500</v>
      </c>
      <c r="Q26" s="3"/>
      <c r="R26" s="46" t="s">
        <v>138</v>
      </c>
      <c r="T26" s="45">
        <f>+Q26-L26</f>
        <v>-12000</v>
      </c>
    </row>
    <row r="27" spans="1:20">
      <c r="A27" s="63">
        <v>5020</v>
      </c>
      <c r="B27" s="10" t="s">
        <v>4</v>
      </c>
      <c r="C27" s="10">
        <v>0</v>
      </c>
      <c r="D27" s="10">
        <v>0</v>
      </c>
      <c r="E27" s="3">
        <v>0</v>
      </c>
      <c r="F27" s="3"/>
      <c r="G27" s="3"/>
      <c r="H27" s="3">
        <v>0</v>
      </c>
      <c r="I27" s="3"/>
      <c r="J27" s="64">
        <v>0</v>
      </c>
      <c r="K27" s="64">
        <f t="shared" si="5"/>
        <v>0</v>
      </c>
      <c r="L27" s="3"/>
      <c r="M27" s="3">
        <v>2000</v>
      </c>
      <c r="N27" s="3">
        <v>2000</v>
      </c>
      <c r="O27" s="3">
        <v>2000</v>
      </c>
      <c r="P27" s="3">
        <v>2000</v>
      </c>
      <c r="Q27" s="3"/>
      <c r="R27" s="46"/>
    </row>
    <row r="28" spans="1:20">
      <c r="A28" s="63">
        <v>5050</v>
      </c>
      <c r="B28" s="10" t="s">
        <v>5</v>
      </c>
      <c r="C28" s="10">
        <v>928.12</v>
      </c>
      <c r="D28" s="10">
        <v>0</v>
      </c>
      <c r="E28" s="3">
        <v>0</v>
      </c>
      <c r="F28" s="3"/>
      <c r="G28" s="3"/>
      <c r="H28" s="66">
        <v>0</v>
      </c>
      <c r="I28" s="3"/>
      <c r="J28" s="64">
        <v>0</v>
      </c>
      <c r="K28" s="64">
        <f t="shared" si="5"/>
        <v>0</v>
      </c>
      <c r="L28" s="66"/>
      <c r="M28" s="67" t="s">
        <v>165</v>
      </c>
      <c r="N28" s="67" t="s">
        <v>165</v>
      </c>
      <c r="O28" s="67" t="s">
        <v>165</v>
      </c>
      <c r="P28" s="67" t="s">
        <v>165</v>
      </c>
      <c r="Q28" s="66"/>
      <c r="R28" s="46"/>
    </row>
    <row r="29" spans="1:20">
      <c r="A29" s="63">
        <v>5060</v>
      </c>
      <c r="B29" s="10" t="s">
        <v>6</v>
      </c>
      <c r="C29" s="10">
        <v>696</v>
      </c>
      <c r="D29" s="10">
        <v>596</v>
      </c>
      <c r="E29" s="3">
        <v>596</v>
      </c>
      <c r="F29" s="3">
        <v>516</v>
      </c>
      <c r="G29" s="3">
        <v>662.45</v>
      </c>
      <c r="H29" s="3">
        <v>547</v>
      </c>
      <c r="I29" s="3">
        <v>320.8</v>
      </c>
      <c r="J29" s="64">
        <v>547</v>
      </c>
      <c r="K29" s="64">
        <f t="shared" si="5"/>
        <v>0</v>
      </c>
      <c r="L29" s="3">
        <v>537</v>
      </c>
      <c r="M29" s="3">
        <v>700</v>
      </c>
      <c r="N29" s="3">
        <v>700</v>
      </c>
      <c r="O29" s="3">
        <v>700</v>
      </c>
      <c r="P29" s="3">
        <v>700</v>
      </c>
      <c r="Q29" s="3"/>
      <c r="R29" s="46"/>
    </row>
    <row r="30" spans="1:20" ht="18" customHeight="1">
      <c r="A30" s="63">
        <v>5070</v>
      </c>
      <c r="B30" s="10" t="s">
        <v>7</v>
      </c>
      <c r="C30" s="10">
        <v>59050.49</v>
      </c>
      <c r="D30" s="10">
        <v>105153.65</v>
      </c>
      <c r="E30" s="3">
        <v>19828.5</v>
      </c>
      <c r="F30" s="3">
        <v>17070.330000000002</v>
      </c>
      <c r="G30" s="3">
        <v>22012.5</v>
      </c>
      <c r="H30" s="3">
        <v>20000</v>
      </c>
      <c r="I30" s="3">
        <v>6527.22</v>
      </c>
      <c r="J30" s="64">
        <v>10000</v>
      </c>
      <c r="K30" s="64">
        <f t="shared" si="5"/>
        <v>-10000</v>
      </c>
      <c r="L30" s="3">
        <v>15000</v>
      </c>
      <c r="M30" s="3">
        <v>75000</v>
      </c>
      <c r="N30" s="3">
        <v>75000</v>
      </c>
      <c r="O30" s="3">
        <v>75000</v>
      </c>
      <c r="P30" s="3">
        <v>75000</v>
      </c>
      <c r="Q30" s="3"/>
      <c r="R30" s="46" t="s">
        <v>69</v>
      </c>
    </row>
    <row r="31" spans="1:20">
      <c r="A31" s="63">
        <v>5075</v>
      </c>
      <c r="B31" s="10" t="s">
        <v>8</v>
      </c>
      <c r="C31" s="10">
        <v>0</v>
      </c>
      <c r="D31" s="10">
        <v>3676.84</v>
      </c>
      <c r="E31" s="3">
        <v>9259.4</v>
      </c>
      <c r="F31" s="3">
        <v>3841.36</v>
      </c>
      <c r="G31" s="3">
        <v>17862.25</v>
      </c>
      <c r="H31" s="3">
        <v>29530</v>
      </c>
      <c r="I31" s="3">
        <v>25161.1</v>
      </c>
      <c r="J31" s="64">
        <v>35000</v>
      </c>
      <c r="K31" s="64">
        <f t="shared" si="5"/>
        <v>5470</v>
      </c>
      <c r="L31" s="3">
        <v>35000</v>
      </c>
      <c r="M31" s="3">
        <v>3000</v>
      </c>
      <c r="N31" s="3">
        <v>3000</v>
      </c>
      <c r="O31" s="3">
        <v>3000</v>
      </c>
      <c r="P31" s="3">
        <v>3000</v>
      </c>
      <c r="Q31" s="3"/>
      <c r="R31" s="46" t="s">
        <v>70</v>
      </c>
    </row>
    <row r="32" spans="1:20">
      <c r="A32" s="63">
        <v>5090</v>
      </c>
      <c r="B32" s="10" t="s">
        <v>68</v>
      </c>
      <c r="C32" s="10"/>
      <c r="D32" s="10"/>
      <c r="E32" s="3"/>
      <c r="F32" s="3"/>
      <c r="G32" s="3"/>
      <c r="H32" s="3">
        <v>4500</v>
      </c>
      <c r="I32" s="3">
        <v>2250</v>
      </c>
      <c r="J32" s="64">
        <v>4500</v>
      </c>
      <c r="K32" s="64"/>
      <c r="L32" s="3"/>
      <c r="M32" s="3"/>
      <c r="N32" s="3"/>
      <c r="O32" s="3"/>
      <c r="P32" s="3"/>
      <c r="Q32" s="3"/>
      <c r="R32" s="46" t="s">
        <v>148</v>
      </c>
    </row>
    <row r="33" spans="1:20">
      <c r="A33" s="63">
        <v>5100</v>
      </c>
      <c r="B33" s="10" t="s">
        <v>146</v>
      </c>
      <c r="C33" s="10"/>
      <c r="D33" s="10"/>
      <c r="E33" s="3"/>
      <c r="F33" s="3"/>
      <c r="G33" s="3">
        <v>129</v>
      </c>
      <c r="H33" s="3"/>
      <c r="I33" s="3"/>
      <c r="J33" s="64"/>
      <c r="K33" s="64"/>
      <c r="L33" s="3"/>
      <c r="M33" s="3"/>
      <c r="N33" s="3"/>
      <c r="O33" s="3"/>
      <c r="P33" s="3"/>
      <c r="Q33" s="3"/>
      <c r="R33" s="46"/>
    </row>
    <row r="34" spans="1:20">
      <c r="A34" s="63">
        <v>5110</v>
      </c>
      <c r="B34" s="10" t="s">
        <v>147</v>
      </c>
      <c r="C34" s="10"/>
      <c r="D34" s="10"/>
      <c r="E34" s="3"/>
      <c r="F34" s="3"/>
      <c r="G34" s="3">
        <v>508</v>
      </c>
      <c r="H34" s="3"/>
      <c r="I34" s="3"/>
      <c r="J34" s="64"/>
      <c r="K34" s="64"/>
      <c r="L34" s="3">
        <v>500</v>
      </c>
      <c r="M34" s="3"/>
      <c r="N34" s="3"/>
      <c r="O34" s="3"/>
      <c r="P34" s="3"/>
      <c r="Q34" s="3"/>
      <c r="R34" s="46"/>
    </row>
    <row r="35" spans="1:20">
      <c r="A35" s="63">
        <v>5120</v>
      </c>
      <c r="B35" s="10" t="s">
        <v>9</v>
      </c>
      <c r="C35" s="10">
        <v>275</v>
      </c>
      <c r="D35" s="10">
        <v>820</v>
      </c>
      <c r="E35" s="3">
        <v>3672.75</v>
      </c>
      <c r="F35" s="3">
        <v>4644.47</v>
      </c>
      <c r="G35" s="3">
        <v>2885.2</v>
      </c>
      <c r="H35" s="3">
        <v>3500</v>
      </c>
      <c r="I35" s="3">
        <v>2050</v>
      </c>
      <c r="J35" s="64">
        <v>3500</v>
      </c>
      <c r="K35" s="64">
        <f t="shared" ref="K35:K56" si="6">+J35-H35</f>
        <v>0</v>
      </c>
      <c r="L35" s="3">
        <v>10000</v>
      </c>
      <c r="M35" s="3">
        <v>3500</v>
      </c>
      <c r="N35" s="3">
        <v>3500</v>
      </c>
      <c r="O35" s="3">
        <v>3500</v>
      </c>
      <c r="P35" s="3">
        <v>3500</v>
      </c>
      <c r="Q35" s="3"/>
      <c r="R35" s="46" t="s">
        <v>139</v>
      </c>
    </row>
    <row r="36" spans="1:20">
      <c r="A36" s="63">
        <v>5130</v>
      </c>
      <c r="B36" s="10" t="s">
        <v>10</v>
      </c>
      <c r="C36" s="10">
        <v>181.27</v>
      </c>
      <c r="D36" s="10">
        <v>25.9</v>
      </c>
      <c r="E36" s="3">
        <v>101.8</v>
      </c>
      <c r="F36" s="3">
        <v>128.55000000000001</v>
      </c>
      <c r="G36" s="3">
        <v>0</v>
      </c>
      <c r="H36" s="3">
        <v>1500</v>
      </c>
      <c r="I36" s="3">
        <v>1765.23</v>
      </c>
      <c r="J36" s="64">
        <v>1765</v>
      </c>
      <c r="K36" s="64">
        <f t="shared" si="6"/>
        <v>265</v>
      </c>
      <c r="L36" s="3">
        <v>250</v>
      </c>
      <c r="M36" s="3">
        <v>500</v>
      </c>
      <c r="N36" s="3">
        <v>500</v>
      </c>
      <c r="O36" s="3">
        <v>500</v>
      </c>
      <c r="P36" s="3">
        <v>500</v>
      </c>
      <c r="Q36" s="3"/>
      <c r="R36" s="46" t="s">
        <v>71</v>
      </c>
    </row>
    <row r="37" spans="1:20">
      <c r="A37" s="63">
        <v>5174</v>
      </c>
      <c r="B37" s="10" t="s">
        <v>11</v>
      </c>
      <c r="C37" s="10">
        <v>0</v>
      </c>
      <c r="D37" s="10">
        <v>296.75</v>
      </c>
      <c r="E37" s="3">
        <v>112</v>
      </c>
      <c r="F37" s="3">
        <v>194.9</v>
      </c>
      <c r="G37" s="3">
        <v>227.75</v>
      </c>
      <c r="H37" s="3">
        <v>230</v>
      </c>
      <c r="I37" s="3">
        <v>152</v>
      </c>
      <c r="J37" s="64">
        <v>230</v>
      </c>
      <c r="K37" s="64">
        <f t="shared" si="6"/>
        <v>0</v>
      </c>
      <c r="L37" s="3">
        <v>230</v>
      </c>
      <c r="M37" s="3">
        <v>300</v>
      </c>
      <c r="N37" s="3">
        <v>300</v>
      </c>
      <c r="O37" s="3">
        <v>300</v>
      </c>
      <c r="P37" s="3">
        <v>300</v>
      </c>
      <c r="Q37" s="3"/>
      <c r="R37" s="46" t="s">
        <v>191</v>
      </c>
    </row>
    <row r="38" spans="1:20">
      <c r="A38" s="63">
        <v>5175</v>
      </c>
      <c r="B38" s="10" t="s">
        <v>106</v>
      </c>
      <c r="C38" s="10">
        <v>37080</v>
      </c>
      <c r="D38" s="10">
        <v>37080</v>
      </c>
      <c r="E38" s="3">
        <v>37260</v>
      </c>
      <c r="F38" s="3">
        <v>38702.5</v>
      </c>
      <c r="G38" s="3">
        <v>39360</v>
      </c>
      <c r="H38" s="3">
        <v>41328</v>
      </c>
      <c r="I38" s="3">
        <v>22960</v>
      </c>
      <c r="J38" s="64">
        <f t="shared" ref="J38:J49" si="7">+I38/7*12</f>
        <v>39360</v>
      </c>
      <c r="K38" s="64">
        <f t="shared" si="6"/>
        <v>-1968</v>
      </c>
      <c r="L38" s="3">
        <f>2198+J38</f>
        <v>41558</v>
      </c>
      <c r="M38" s="3">
        <v>37080</v>
      </c>
      <c r="N38" s="3">
        <v>37080</v>
      </c>
      <c r="O38" s="3">
        <v>37080</v>
      </c>
      <c r="P38" s="3">
        <v>37080</v>
      </c>
      <c r="Q38" s="3"/>
      <c r="R38" s="46" t="s">
        <v>187</v>
      </c>
    </row>
    <row r="39" spans="1:20">
      <c r="A39" s="63">
        <v>5176</v>
      </c>
      <c r="B39" s="10" t="s">
        <v>12</v>
      </c>
      <c r="C39" s="10">
        <v>216</v>
      </c>
      <c r="D39" s="10">
        <v>2488.15</v>
      </c>
      <c r="E39" s="3">
        <v>700</v>
      </c>
      <c r="F39" s="3">
        <v>1813.94</v>
      </c>
      <c r="G39" s="3">
        <v>460.22</v>
      </c>
      <c r="H39" s="3">
        <v>150</v>
      </c>
      <c r="I39" s="3">
        <v>164.98</v>
      </c>
      <c r="J39" s="64">
        <v>280</v>
      </c>
      <c r="K39" s="64">
        <f t="shared" si="6"/>
        <v>130</v>
      </c>
      <c r="L39" s="3">
        <v>1500</v>
      </c>
      <c r="M39" s="3">
        <v>1500</v>
      </c>
      <c r="N39" s="3">
        <v>1500</v>
      </c>
      <c r="O39" s="3">
        <v>1500</v>
      </c>
      <c r="P39" s="3">
        <v>1500</v>
      </c>
      <c r="Q39" s="3"/>
      <c r="R39" s="68"/>
    </row>
    <row r="40" spans="1:20">
      <c r="A40" s="63">
        <v>5180</v>
      </c>
      <c r="B40" s="10" t="s">
        <v>179</v>
      </c>
      <c r="C40" s="10">
        <v>0</v>
      </c>
      <c r="D40" s="10">
        <v>0</v>
      </c>
      <c r="E40" s="3">
        <v>342.98</v>
      </c>
      <c r="F40" s="3">
        <v>0</v>
      </c>
      <c r="G40" s="3">
        <v>57</v>
      </c>
      <c r="H40" s="3">
        <v>150</v>
      </c>
      <c r="I40" s="3"/>
      <c r="J40" s="64">
        <v>150</v>
      </c>
      <c r="K40" s="64">
        <f t="shared" si="6"/>
        <v>0</v>
      </c>
      <c r="L40" s="3">
        <v>150</v>
      </c>
      <c r="M40" s="3"/>
      <c r="N40" s="3"/>
      <c r="O40" s="3"/>
      <c r="P40" s="3"/>
      <c r="Q40" s="3"/>
      <c r="R40" s="46" t="s">
        <v>72</v>
      </c>
    </row>
    <row r="41" spans="1:20">
      <c r="A41" s="63">
        <v>5181</v>
      </c>
      <c r="B41" s="10" t="s">
        <v>182</v>
      </c>
      <c r="C41" s="10">
        <v>8922.8700000000008</v>
      </c>
      <c r="D41" s="10">
        <v>2105.89</v>
      </c>
      <c r="E41" s="3">
        <v>2462.48</v>
      </c>
      <c r="F41" s="3">
        <v>2523.0500000000002</v>
      </c>
      <c r="G41" s="3">
        <v>1072.73</v>
      </c>
      <c r="H41" s="3">
        <v>1200</v>
      </c>
      <c r="I41" s="3">
        <v>1046.79</v>
      </c>
      <c r="J41" s="64">
        <v>1046</v>
      </c>
      <c r="K41" s="64">
        <f t="shared" si="6"/>
        <v>-154</v>
      </c>
      <c r="L41" s="3">
        <v>1200</v>
      </c>
      <c r="M41" s="3">
        <v>3000</v>
      </c>
      <c r="N41" s="3">
        <v>3000</v>
      </c>
      <c r="O41" s="3">
        <v>3000</v>
      </c>
      <c r="P41" s="3">
        <v>3000</v>
      </c>
      <c r="Q41" s="3"/>
      <c r="R41" s="46" t="s">
        <v>76</v>
      </c>
    </row>
    <row r="42" spans="1:20">
      <c r="A42" s="63">
        <v>51811</v>
      </c>
      <c r="B42" s="10" t="s">
        <v>181</v>
      </c>
      <c r="C42" s="10"/>
      <c r="D42" s="10"/>
      <c r="E42" s="3">
        <v>0</v>
      </c>
      <c r="F42" s="3">
        <v>1418.97</v>
      </c>
      <c r="G42" s="3">
        <v>1193.72</v>
      </c>
      <c r="H42" s="3">
        <v>1200</v>
      </c>
      <c r="I42" s="3"/>
      <c r="J42" s="64">
        <v>1200</v>
      </c>
      <c r="K42" s="64">
        <f t="shared" si="6"/>
        <v>0</v>
      </c>
      <c r="L42" s="3">
        <v>1200</v>
      </c>
      <c r="M42" s="3"/>
      <c r="N42" s="3"/>
      <c r="O42" s="3"/>
      <c r="P42" s="3"/>
      <c r="Q42" s="3"/>
      <c r="R42" s="46" t="s">
        <v>76</v>
      </c>
      <c r="T42" s="45">
        <f>+Q42-L42</f>
        <v>-1200</v>
      </c>
    </row>
    <row r="43" spans="1:20">
      <c r="A43" s="63">
        <v>5182</v>
      </c>
      <c r="B43" s="10" t="s">
        <v>41</v>
      </c>
      <c r="C43" s="10">
        <v>5149.1000000000004</v>
      </c>
      <c r="D43" s="10">
        <v>6131.8</v>
      </c>
      <c r="E43" s="3">
        <v>8208</v>
      </c>
      <c r="F43" s="3">
        <v>9140.23</v>
      </c>
      <c r="G43" s="3">
        <v>8011.39</v>
      </c>
      <c r="H43" s="3">
        <v>9000</v>
      </c>
      <c r="I43" s="3">
        <v>5909.99</v>
      </c>
      <c r="J43" s="64">
        <v>9000</v>
      </c>
      <c r="K43" s="64">
        <f t="shared" si="6"/>
        <v>0</v>
      </c>
      <c r="L43" s="3">
        <v>25000</v>
      </c>
      <c r="M43" s="3">
        <v>5000</v>
      </c>
      <c r="N43" s="3">
        <v>5000</v>
      </c>
      <c r="O43" s="3">
        <v>5000</v>
      </c>
      <c r="P43" s="3">
        <v>5000</v>
      </c>
      <c r="Q43" s="3"/>
      <c r="R43" s="46" t="s">
        <v>152</v>
      </c>
    </row>
    <row r="44" spans="1:20">
      <c r="A44" s="63">
        <v>51821</v>
      </c>
      <c r="B44" s="10" t="s">
        <v>184</v>
      </c>
      <c r="C44" s="10"/>
      <c r="D44" s="10"/>
      <c r="E44" s="3"/>
      <c r="F44" s="3"/>
      <c r="G44" s="3">
        <v>1949.48</v>
      </c>
      <c r="H44" s="3">
        <v>2500</v>
      </c>
      <c r="I44" s="3">
        <v>500</v>
      </c>
      <c r="J44" s="64">
        <v>2500</v>
      </c>
      <c r="K44" s="64">
        <f t="shared" si="6"/>
        <v>0</v>
      </c>
      <c r="L44" s="3">
        <v>2400</v>
      </c>
      <c r="M44" s="3"/>
      <c r="N44" s="3"/>
      <c r="O44" s="3"/>
      <c r="P44" s="3"/>
      <c r="Q44" s="3"/>
      <c r="R44" s="46" t="s">
        <v>77</v>
      </c>
      <c r="T44" s="45">
        <f>+Q44-L44</f>
        <v>-2400</v>
      </c>
    </row>
    <row r="45" spans="1:20">
      <c r="A45" s="63">
        <v>5184</v>
      </c>
      <c r="B45" s="10" t="s">
        <v>169</v>
      </c>
      <c r="C45" s="10">
        <v>0</v>
      </c>
      <c r="D45" s="10">
        <v>0</v>
      </c>
      <c r="E45" s="3">
        <v>371.68</v>
      </c>
      <c r="F45" s="3"/>
      <c r="G45" s="3">
        <v>676.88</v>
      </c>
      <c r="H45" s="3">
        <v>700</v>
      </c>
      <c r="I45" s="3">
        <v>678.68</v>
      </c>
      <c r="J45" s="64">
        <v>700</v>
      </c>
      <c r="K45" s="64">
        <f t="shared" si="6"/>
        <v>0</v>
      </c>
      <c r="L45" s="3">
        <v>700</v>
      </c>
      <c r="M45" s="3"/>
      <c r="N45" s="3"/>
      <c r="O45" s="3"/>
      <c r="P45" s="3"/>
      <c r="Q45" s="3"/>
      <c r="R45" s="46" t="s">
        <v>73</v>
      </c>
    </row>
    <row r="46" spans="1:20">
      <c r="A46" s="63">
        <f t="shared" ref="A46" si="8">+A45+1</f>
        <v>5185</v>
      </c>
      <c r="B46" s="10" t="s">
        <v>175</v>
      </c>
      <c r="C46" s="10">
        <v>0</v>
      </c>
      <c r="D46" s="10">
        <v>0</v>
      </c>
      <c r="E46" s="3">
        <v>1051.07</v>
      </c>
      <c r="F46" s="3">
        <v>333.12</v>
      </c>
      <c r="G46" s="3">
        <v>331.04</v>
      </c>
      <c r="H46" s="3">
        <v>250</v>
      </c>
      <c r="I46" s="3">
        <v>55.9</v>
      </c>
      <c r="J46" s="64">
        <v>250</v>
      </c>
      <c r="K46" s="64">
        <f t="shared" si="6"/>
        <v>0</v>
      </c>
      <c r="L46" s="3">
        <v>250</v>
      </c>
      <c r="M46" s="3"/>
      <c r="N46" s="3"/>
      <c r="O46" s="3"/>
      <c r="P46" s="3"/>
      <c r="Q46" s="3"/>
      <c r="R46" s="46" t="s">
        <v>74</v>
      </c>
    </row>
    <row r="47" spans="1:20">
      <c r="A47" s="63">
        <v>5186</v>
      </c>
      <c r="B47" s="10" t="s">
        <v>183</v>
      </c>
      <c r="C47" s="10"/>
      <c r="D47" s="10"/>
      <c r="E47" s="3"/>
      <c r="F47" s="3">
        <v>461.73</v>
      </c>
      <c r="G47" s="3">
        <v>1745.2</v>
      </c>
      <c r="H47" s="3">
        <v>2000</v>
      </c>
      <c r="I47" s="3">
        <v>1598.07</v>
      </c>
      <c r="J47" s="64">
        <v>1598</v>
      </c>
      <c r="K47" s="64">
        <f t="shared" si="6"/>
        <v>-402</v>
      </c>
      <c r="L47" s="3">
        <v>2000</v>
      </c>
      <c r="M47" s="3"/>
      <c r="N47" s="3"/>
      <c r="O47" s="3"/>
      <c r="P47" s="3"/>
      <c r="Q47" s="3"/>
      <c r="R47" s="46" t="s">
        <v>75</v>
      </c>
    </row>
    <row r="48" spans="1:20" ht="17.25" customHeight="1">
      <c r="A48" s="63">
        <v>5187</v>
      </c>
      <c r="B48" s="10" t="s">
        <v>185</v>
      </c>
      <c r="C48" s="10"/>
      <c r="D48" s="10"/>
      <c r="E48" s="3"/>
      <c r="F48" s="3">
        <v>3317.85</v>
      </c>
      <c r="G48" s="3">
        <v>2486.54</v>
      </c>
      <c r="H48" s="3">
        <v>3500</v>
      </c>
      <c r="I48" s="3">
        <v>536.52</v>
      </c>
      <c r="J48" s="64">
        <v>3500</v>
      </c>
      <c r="K48" s="64">
        <f t="shared" si="6"/>
        <v>0</v>
      </c>
      <c r="L48" s="3">
        <v>3500</v>
      </c>
      <c r="M48" s="3"/>
      <c r="N48" s="3"/>
      <c r="O48" s="3"/>
      <c r="P48" s="3"/>
      <c r="Q48" s="3"/>
      <c r="R48" s="46" t="s">
        <v>140</v>
      </c>
    </row>
    <row r="49" spans="1:20">
      <c r="A49" s="63">
        <v>5188</v>
      </c>
      <c r="B49" s="10" t="s">
        <v>13</v>
      </c>
      <c r="C49" s="10">
        <v>9816.4599999999991</v>
      </c>
      <c r="D49" s="10">
        <v>5285.02</v>
      </c>
      <c r="E49" s="3">
        <v>7959.57</v>
      </c>
      <c r="F49" s="3"/>
      <c r="G49" s="3"/>
      <c r="H49" s="3">
        <v>0</v>
      </c>
      <c r="I49" s="3"/>
      <c r="J49" s="64">
        <f t="shared" si="7"/>
        <v>0</v>
      </c>
      <c r="K49" s="64">
        <f t="shared" si="6"/>
        <v>0</v>
      </c>
      <c r="L49" s="3">
        <v>0</v>
      </c>
      <c r="M49" s="3">
        <v>6000</v>
      </c>
      <c r="N49" s="3">
        <v>6000</v>
      </c>
      <c r="O49" s="3">
        <v>6000</v>
      </c>
      <c r="P49" s="3">
        <v>6000</v>
      </c>
      <c r="Q49" s="3"/>
      <c r="R49" s="46"/>
    </row>
    <row r="50" spans="1:20">
      <c r="A50" s="63">
        <v>5210</v>
      </c>
      <c r="B50" s="10" t="s">
        <v>176</v>
      </c>
      <c r="C50" s="10">
        <v>0</v>
      </c>
      <c r="D50" s="10">
        <v>0</v>
      </c>
      <c r="E50" s="3">
        <v>11903.42</v>
      </c>
      <c r="F50" s="3">
        <v>5686.32</v>
      </c>
      <c r="G50" s="3">
        <v>8004.91</v>
      </c>
      <c r="H50" s="3">
        <v>10000</v>
      </c>
      <c r="I50" s="3">
        <v>2825.58</v>
      </c>
      <c r="J50" s="64">
        <v>7500</v>
      </c>
      <c r="K50" s="64">
        <f t="shared" si="6"/>
        <v>-2500</v>
      </c>
      <c r="L50" s="3">
        <v>10000</v>
      </c>
      <c r="M50" s="3"/>
      <c r="N50" s="3"/>
      <c r="O50" s="3"/>
      <c r="P50" s="3"/>
      <c r="Q50" s="3"/>
      <c r="R50" s="46" t="s">
        <v>78</v>
      </c>
    </row>
    <row r="51" spans="1:20">
      <c r="A51" s="63">
        <v>5292</v>
      </c>
      <c r="B51" s="10" t="s">
        <v>104</v>
      </c>
      <c r="C51" s="10">
        <v>9398.1</v>
      </c>
      <c r="D51" s="10">
        <v>7131.23</v>
      </c>
      <c r="E51" s="3">
        <v>11001.1</v>
      </c>
      <c r="F51" s="3">
        <v>4305.84</v>
      </c>
      <c r="G51" s="3">
        <v>6998.35</v>
      </c>
      <c r="H51" s="3">
        <v>9500</v>
      </c>
      <c r="I51" s="3">
        <v>5034.26</v>
      </c>
      <c r="J51" s="64">
        <v>9500</v>
      </c>
      <c r="K51" s="64">
        <f t="shared" si="6"/>
        <v>0</v>
      </c>
      <c r="L51" s="3">
        <v>9500</v>
      </c>
      <c r="M51" s="3">
        <v>8000</v>
      </c>
      <c r="N51" s="3">
        <v>8000</v>
      </c>
      <c r="O51" s="3">
        <v>8000</v>
      </c>
      <c r="P51" s="3">
        <v>8000</v>
      </c>
      <c r="Q51" s="3"/>
      <c r="R51" s="46" t="s">
        <v>153</v>
      </c>
    </row>
    <row r="52" spans="1:20">
      <c r="A52" s="63">
        <v>5293</v>
      </c>
      <c r="B52" s="10" t="s">
        <v>14</v>
      </c>
      <c r="C52" s="10">
        <v>2778.86</v>
      </c>
      <c r="D52" s="10">
        <v>1383.76</v>
      </c>
      <c r="E52" s="3">
        <v>3780.27</v>
      </c>
      <c r="F52" s="3">
        <v>4595.13</v>
      </c>
      <c r="G52" s="3">
        <v>3662.93</v>
      </c>
      <c r="H52" s="3">
        <v>4000</v>
      </c>
      <c r="I52" s="3">
        <v>3432.96</v>
      </c>
      <c r="J52" s="64">
        <v>4000</v>
      </c>
      <c r="K52" s="64">
        <f t="shared" si="6"/>
        <v>0</v>
      </c>
      <c r="L52" s="3">
        <v>4000</v>
      </c>
      <c r="M52" s="3">
        <v>1500</v>
      </c>
      <c r="N52" s="3">
        <v>1500</v>
      </c>
      <c r="O52" s="3">
        <v>1500</v>
      </c>
      <c r="P52" s="3">
        <v>1500</v>
      </c>
      <c r="Q52" s="3"/>
      <c r="R52" s="46" t="s">
        <v>141</v>
      </c>
    </row>
    <row r="53" spans="1:20">
      <c r="A53" s="63">
        <v>5310</v>
      </c>
      <c r="B53" s="10" t="s">
        <v>105</v>
      </c>
      <c r="C53" s="10">
        <v>4270.24</v>
      </c>
      <c r="D53" s="10">
        <v>8007.3</v>
      </c>
      <c r="E53" s="3">
        <v>6527.98</v>
      </c>
      <c r="F53" s="3">
        <v>5531.89</v>
      </c>
      <c r="G53" s="3">
        <v>8326.07</v>
      </c>
      <c r="H53" s="3">
        <v>8000</v>
      </c>
      <c r="I53" s="3">
        <v>694.85</v>
      </c>
      <c r="J53" s="64">
        <v>8000</v>
      </c>
      <c r="K53" s="64">
        <f t="shared" si="6"/>
        <v>0</v>
      </c>
      <c r="L53" s="3">
        <v>7500</v>
      </c>
      <c r="M53" s="3">
        <v>6000</v>
      </c>
      <c r="N53" s="3">
        <v>6000</v>
      </c>
      <c r="O53" s="3">
        <v>6000</v>
      </c>
      <c r="P53" s="3">
        <v>6000</v>
      </c>
      <c r="Q53" s="3"/>
      <c r="R53" s="46" t="s">
        <v>79</v>
      </c>
    </row>
    <row r="54" spans="1:20">
      <c r="A54" s="63">
        <v>5320</v>
      </c>
      <c r="B54" s="10" t="s">
        <v>44</v>
      </c>
      <c r="C54" s="10">
        <v>2726.65</v>
      </c>
      <c r="D54" s="10">
        <v>1750.88</v>
      </c>
      <c r="E54" s="3">
        <v>1498.98</v>
      </c>
      <c r="F54" s="3">
        <v>1913.64</v>
      </c>
      <c r="G54" s="3">
        <v>6551.34</v>
      </c>
      <c r="H54" s="3">
        <v>1500</v>
      </c>
      <c r="I54" s="3">
        <v>531.72</v>
      </c>
      <c r="J54" s="64">
        <v>1500</v>
      </c>
      <c r="K54" s="64">
        <f t="shared" si="6"/>
        <v>0</v>
      </c>
      <c r="L54" s="3">
        <v>2500</v>
      </c>
      <c r="M54" s="3">
        <v>2000</v>
      </c>
      <c r="N54" s="3">
        <v>2000</v>
      </c>
      <c r="O54" s="3">
        <v>2000</v>
      </c>
      <c r="P54" s="3">
        <v>2000</v>
      </c>
      <c r="Q54" s="3"/>
      <c r="R54" s="46"/>
    </row>
    <row r="55" spans="1:20">
      <c r="A55" s="63">
        <v>5355</v>
      </c>
      <c r="B55" s="10" t="s">
        <v>15</v>
      </c>
      <c r="C55" s="10">
        <v>3056.54</v>
      </c>
      <c r="D55" s="10">
        <v>4049.21</v>
      </c>
      <c r="E55" s="3">
        <v>3247.77</v>
      </c>
      <c r="F55" s="3">
        <v>2468.16</v>
      </c>
      <c r="G55" s="3">
        <v>0</v>
      </c>
      <c r="H55" s="3">
        <v>3000</v>
      </c>
      <c r="I55" s="3"/>
      <c r="J55" s="64">
        <v>0</v>
      </c>
      <c r="K55" s="64">
        <f t="shared" si="6"/>
        <v>-3000</v>
      </c>
      <c r="L55" s="3">
        <v>0</v>
      </c>
      <c r="M55" s="3">
        <v>3300</v>
      </c>
      <c r="N55" s="3">
        <v>3300</v>
      </c>
      <c r="O55" s="3">
        <v>3300</v>
      </c>
      <c r="P55" s="3">
        <v>3300</v>
      </c>
      <c r="Q55" s="3"/>
      <c r="R55" s="46"/>
    </row>
    <row r="56" spans="1:20">
      <c r="A56" s="63">
        <v>5390</v>
      </c>
      <c r="B56" s="10" t="s">
        <v>168</v>
      </c>
      <c r="C56" s="10">
        <v>31810.35</v>
      </c>
      <c r="D56" s="10">
        <v>29802.28</v>
      </c>
      <c r="E56" s="3">
        <v>9501.4699999999993</v>
      </c>
      <c r="F56" s="3">
        <v>1300.3800000000001</v>
      </c>
      <c r="G56" s="3">
        <v>2718.77</v>
      </c>
      <c r="H56" s="3">
        <v>1200</v>
      </c>
      <c r="I56" s="3">
        <v>869.03</v>
      </c>
      <c r="J56" s="64">
        <v>1500</v>
      </c>
      <c r="K56" s="64">
        <f t="shared" si="6"/>
        <v>300</v>
      </c>
      <c r="L56" s="3">
        <v>0</v>
      </c>
      <c r="M56" s="3">
        <v>4501</v>
      </c>
      <c r="N56" s="3">
        <v>4502</v>
      </c>
      <c r="O56" s="3">
        <v>4503</v>
      </c>
      <c r="P56" s="3">
        <v>4504</v>
      </c>
      <c r="Q56" s="3"/>
      <c r="R56" s="46" t="s">
        <v>154</v>
      </c>
    </row>
    <row r="57" spans="1:20">
      <c r="A57" s="63"/>
      <c r="B57" s="9" t="s">
        <v>99</v>
      </c>
      <c r="C57" s="9">
        <f t="shared" ref="C57:P57" si="9">SUM(C25:C56)</f>
        <v>200074.98999999996</v>
      </c>
      <c r="D57" s="9">
        <f t="shared" si="9"/>
        <v>238946.08999999997</v>
      </c>
      <c r="E57" s="4">
        <f t="shared" si="9"/>
        <v>144105.22</v>
      </c>
      <c r="F57" s="4">
        <f t="shared" si="9"/>
        <v>120810.68000000002</v>
      </c>
      <c r="G57" s="4">
        <f t="shared" si="9"/>
        <v>155556.20999999996</v>
      </c>
      <c r="H57" s="4">
        <f t="shared" ref="H57" si="10">SUM(H25:H56)</f>
        <v>168455</v>
      </c>
      <c r="I57" s="4">
        <f t="shared" si="9"/>
        <v>93252.71</v>
      </c>
      <c r="J57" s="4">
        <f t="shared" si="9"/>
        <v>155313</v>
      </c>
      <c r="K57" s="4">
        <f t="shared" si="9"/>
        <v>-13142</v>
      </c>
      <c r="L57" s="4">
        <f t="shared" si="9"/>
        <v>192475</v>
      </c>
      <c r="M57" s="4">
        <f t="shared" si="9"/>
        <v>189301</v>
      </c>
      <c r="N57" s="4">
        <f t="shared" si="9"/>
        <v>189302</v>
      </c>
      <c r="O57" s="4">
        <f t="shared" si="9"/>
        <v>189303</v>
      </c>
      <c r="P57" s="4">
        <f t="shared" si="9"/>
        <v>189304</v>
      </c>
      <c r="Q57" s="4">
        <f>+L57-H57</f>
        <v>24020</v>
      </c>
      <c r="R57" s="46"/>
      <c r="T57" s="4">
        <f>SUM(T25:T56)</f>
        <v>-21600</v>
      </c>
    </row>
    <row r="58" spans="1:20">
      <c r="A58" s="63"/>
      <c r="B58" s="10"/>
      <c r="C58" s="10"/>
      <c r="D58" s="10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46"/>
      <c r="R58" s="46"/>
    </row>
    <row r="59" spans="1:20">
      <c r="A59" s="63"/>
      <c r="B59" s="9" t="s">
        <v>94</v>
      </c>
      <c r="C59" s="9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46"/>
      <c r="R59" s="46"/>
    </row>
    <row r="60" spans="1:20">
      <c r="A60" s="63">
        <v>5409</v>
      </c>
      <c r="B60" s="10" t="s">
        <v>16</v>
      </c>
      <c r="C60" s="10">
        <v>12788.16</v>
      </c>
      <c r="D60" s="10">
        <v>2334.7399999999998</v>
      </c>
      <c r="E60" s="3">
        <v>3772.32</v>
      </c>
      <c r="F60" s="3">
        <v>41611.129999999997</v>
      </c>
      <c r="G60" s="3">
        <v>3788.76</v>
      </c>
      <c r="H60" s="3">
        <v>5000</v>
      </c>
      <c r="I60" s="3">
        <v>2403.0700000000002</v>
      </c>
      <c r="J60" s="64">
        <v>5000</v>
      </c>
      <c r="K60" s="64">
        <f t="shared" ref="K60:K65" si="11">+J60-H60</f>
        <v>0</v>
      </c>
      <c r="L60" s="3"/>
      <c r="M60" s="3">
        <v>4001</v>
      </c>
      <c r="N60" s="3">
        <v>4002</v>
      </c>
      <c r="O60" s="3">
        <v>4003</v>
      </c>
      <c r="P60" s="3">
        <v>4004</v>
      </c>
      <c r="Q60" s="3"/>
      <c r="R60" s="46"/>
    </row>
    <row r="61" spans="1:20">
      <c r="A61" s="63">
        <v>5411</v>
      </c>
      <c r="B61" s="10" t="s">
        <v>123</v>
      </c>
      <c r="C61" s="10">
        <v>194.69</v>
      </c>
      <c r="D61" s="10">
        <v>0</v>
      </c>
      <c r="E61" s="3">
        <v>954.96</v>
      </c>
      <c r="F61" s="3">
        <v>2342.4</v>
      </c>
      <c r="G61" s="3">
        <v>530.05999999999995</v>
      </c>
      <c r="H61" s="66">
        <v>1000</v>
      </c>
      <c r="I61" s="3"/>
      <c r="J61" s="64">
        <v>1000</v>
      </c>
      <c r="K61" s="64">
        <f t="shared" si="11"/>
        <v>0</v>
      </c>
      <c r="L61" s="66">
        <v>1000</v>
      </c>
      <c r="M61" s="67" t="s">
        <v>165</v>
      </c>
      <c r="N61" s="67" t="s">
        <v>165</v>
      </c>
      <c r="O61" s="67" t="s">
        <v>165</v>
      </c>
      <c r="P61" s="67" t="s">
        <v>165</v>
      </c>
      <c r="Q61" s="66"/>
      <c r="R61" s="46" t="s">
        <v>64</v>
      </c>
    </row>
    <row r="62" spans="1:20">
      <c r="A62" s="63">
        <v>5414</v>
      </c>
      <c r="B62" s="10" t="s">
        <v>167</v>
      </c>
      <c r="C62" s="10">
        <v>1242.51</v>
      </c>
      <c r="D62" s="10">
        <v>311.95999999999998</v>
      </c>
      <c r="E62" s="3">
        <v>220.48</v>
      </c>
      <c r="F62" s="3">
        <v>728.43</v>
      </c>
      <c r="G62" s="3">
        <v>358.48</v>
      </c>
      <c r="H62" s="3">
        <v>500</v>
      </c>
      <c r="I62" s="3">
        <v>235.83</v>
      </c>
      <c r="J62" s="64">
        <v>500</v>
      </c>
      <c r="K62" s="64">
        <f t="shared" si="11"/>
        <v>0</v>
      </c>
      <c r="L62" s="3">
        <v>500</v>
      </c>
      <c r="M62" s="3">
        <v>501</v>
      </c>
      <c r="N62" s="3">
        <v>502</v>
      </c>
      <c r="O62" s="3">
        <v>503</v>
      </c>
      <c r="P62" s="3">
        <v>504</v>
      </c>
      <c r="Q62" s="3"/>
      <c r="R62" s="46"/>
    </row>
    <row r="63" spans="1:20">
      <c r="A63" s="63">
        <v>5418</v>
      </c>
      <c r="B63" s="10" t="s">
        <v>17</v>
      </c>
      <c r="C63" s="10">
        <v>18344.46</v>
      </c>
      <c r="D63" s="10">
        <v>1564.69</v>
      </c>
      <c r="E63" s="3">
        <v>5220.09</v>
      </c>
      <c r="F63" s="3">
        <v>1648.45</v>
      </c>
      <c r="G63" s="3">
        <v>8086.38</v>
      </c>
      <c r="H63" s="3">
        <v>3000</v>
      </c>
      <c r="I63" s="3">
        <v>1226.8399999999999</v>
      </c>
      <c r="J63" s="64">
        <v>3000</v>
      </c>
      <c r="K63" s="64">
        <f t="shared" si="11"/>
        <v>0</v>
      </c>
      <c r="L63" s="3">
        <v>3500</v>
      </c>
      <c r="M63" s="3">
        <f>500*6</f>
        <v>3000</v>
      </c>
      <c r="N63" s="3">
        <f>500*6</f>
        <v>3000</v>
      </c>
      <c r="O63" s="3">
        <f>500*6</f>
        <v>3000</v>
      </c>
      <c r="P63" s="3">
        <f>500*6</f>
        <v>3000</v>
      </c>
      <c r="Q63" s="3"/>
      <c r="R63" s="46" t="s">
        <v>192</v>
      </c>
    </row>
    <row r="64" spans="1:20">
      <c r="A64" s="63">
        <v>5431</v>
      </c>
      <c r="B64" s="10" t="s">
        <v>18</v>
      </c>
      <c r="C64" s="10">
        <v>0</v>
      </c>
      <c r="D64" s="10">
        <v>0</v>
      </c>
      <c r="E64" s="3"/>
      <c r="F64" s="3">
        <v>0</v>
      </c>
      <c r="G64" s="3"/>
      <c r="H64" s="66">
        <v>0</v>
      </c>
      <c r="I64" s="3"/>
      <c r="J64" s="64">
        <f t="shared" ref="J64:J82" si="12">+I64/7*12</f>
        <v>0</v>
      </c>
      <c r="K64" s="64">
        <f t="shared" si="11"/>
        <v>0</v>
      </c>
      <c r="L64" s="66">
        <v>0</v>
      </c>
      <c r="M64" s="67" t="s">
        <v>165</v>
      </c>
      <c r="N64" s="67" t="s">
        <v>165</v>
      </c>
      <c r="O64" s="67" t="s">
        <v>165</v>
      </c>
      <c r="P64" s="67" t="s">
        <v>165</v>
      </c>
      <c r="Q64" s="66"/>
      <c r="R64" s="46"/>
    </row>
    <row r="65" spans="1:18">
      <c r="A65" s="63">
        <v>5434</v>
      </c>
      <c r="B65" s="10" t="s">
        <v>19</v>
      </c>
      <c r="C65" s="10">
        <v>678</v>
      </c>
      <c r="D65" s="10">
        <v>0</v>
      </c>
      <c r="E65" s="3"/>
      <c r="F65" s="3">
        <v>0</v>
      </c>
      <c r="G65" s="3"/>
      <c r="H65" s="3">
        <v>0</v>
      </c>
      <c r="I65" s="3"/>
      <c r="J65" s="64">
        <f t="shared" si="12"/>
        <v>0</v>
      </c>
      <c r="K65" s="64">
        <f t="shared" si="11"/>
        <v>0</v>
      </c>
      <c r="L65" s="3">
        <v>0</v>
      </c>
      <c r="M65" s="3">
        <v>700</v>
      </c>
      <c r="N65" s="3">
        <v>700</v>
      </c>
      <c r="O65" s="3">
        <v>700</v>
      </c>
      <c r="P65" s="3">
        <v>700</v>
      </c>
      <c r="Q65" s="3"/>
      <c r="R65" s="46"/>
    </row>
    <row r="66" spans="1:18">
      <c r="A66" s="63">
        <v>5440</v>
      </c>
      <c r="B66" s="10" t="s">
        <v>189</v>
      </c>
      <c r="C66" s="10"/>
      <c r="D66" s="10"/>
      <c r="E66" s="3"/>
      <c r="F66" s="3">
        <v>110</v>
      </c>
      <c r="G66" s="3">
        <v>1227.0899999999999</v>
      </c>
      <c r="H66" s="3">
        <v>700</v>
      </c>
      <c r="I66" s="3"/>
      <c r="J66" s="64">
        <v>700</v>
      </c>
      <c r="K66" s="64"/>
      <c r="L66" s="3">
        <v>700</v>
      </c>
      <c r="M66" s="3"/>
      <c r="N66" s="3"/>
      <c r="O66" s="3"/>
      <c r="P66" s="3"/>
      <c r="Q66" s="3"/>
      <c r="R66" s="46" t="s">
        <v>80</v>
      </c>
    </row>
    <row r="67" spans="1:18">
      <c r="A67" s="63">
        <v>5460</v>
      </c>
      <c r="B67" s="10" t="s">
        <v>177</v>
      </c>
      <c r="C67" s="10">
        <v>0</v>
      </c>
      <c r="D67" s="10">
        <v>0</v>
      </c>
      <c r="E67" s="3">
        <v>349.83</v>
      </c>
      <c r="F67" s="3">
        <v>9.6</v>
      </c>
      <c r="G67" s="3"/>
      <c r="H67" s="3">
        <v>0</v>
      </c>
      <c r="I67" s="3"/>
      <c r="J67" s="64">
        <f t="shared" si="12"/>
        <v>0</v>
      </c>
      <c r="K67" s="64">
        <f t="shared" ref="K67:K79" si="13">+J67-H67</f>
        <v>0</v>
      </c>
      <c r="L67" s="3">
        <v>0</v>
      </c>
      <c r="M67" s="3"/>
      <c r="N67" s="3"/>
      <c r="O67" s="3"/>
      <c r="P67" s="3"/>
      <c r="Q67" s="3"/>
      <c r="R67" s="46"/>
    </row>
    <row r="68" spans="1:18">
      <c r="A68" s="63">
        <v>5480</v>
      </c>
      <c r="B68" s="10" t="s">
        <v>20</v>
      </c>
      <c r="C68" s="10">
        <v>636.98</v>
      </c>
      <c r="D68" s="10">
        <v>1051.94</v>
      </c>
      <c r="E68" s="3">
        <v>689.35</v>
      </c>
      <c r="F68" s="3">
        <v>965.09</v>
      </c>
      <c r="G68" s="3">
        <v>275.74</v>
      </c>
      <c r="H68" s="3">
        <v>1000</v>
      </c>
      <c r="I68" s="3">
        <v>275.74</v>
      </c>
      <c r="J68" s="64">
        <v>1000</v>
      </c>
      <c r="K68" s="64">
        <f t="shared" si="13"/>
        <v>0</v>
      </c>
      <c r="L68" s="3">
        <v>1000</v>
      </c>
      <c r="M68" s="3">
        <v>500</v>
      </c>
      <c r="N68" s="3">
        <v>500</v>
      </c>
      <c r="O68" s="3">
        <v>500</v>
      </c>
      <c r="P68" s="3">
        <v>500</v>
      </c>
      <c r="Q68" s="3"/>
      <c r="R68" s="46"/>
    </row>
    <row r="69" spans="1:18">
      <c r="A69" s="63">
        <v>5490</v>
      </c>
      <c r="B69" s="10" t="s">
        <v>21</v>
      </c>
      <c r="C69" s="10">
        <v>2616.0700000000002</v>
      </c>
      <c r="D69" s="10">
        <v>2937.69</v>
      </c>
      <c r="E69" s="3">
        <v>3296.3</v>
      </c>
      <c r="F69" s="3">
        <v>3668.93</v>
      </c>
      <c r="G69" s="3">
        <v>3688.87</v>
      </c>
      <c r="H69" s="3">
        <v>3000</v>
      </c>
      <c r="I69" s="3">
        <v>1034.98</v>
      </c>
      <c r="J69" s="64">
        <v>3000</v>
      </c>
      <c r="K69" s="64">
        <f t="shared" si="13"/>
        <v>0</v>
      </c>
      <c r="L69" s="3">
        <v>5000</v>
      </c>
      <c r="M69" s="3">
        <v>2000</v>
      </c>
      <c r="N69" s="3">
        <v>2000</v>
      </c>
      <c r="O69" s="3">
        <v>2000</v>
      </c>
      <c r="P69" s="3">
        <v>2000</v>
      </c>
      <c r="Q69" s="3"/>
      <c r="R69" s="46" t="s">
        <v>136</v>
      </c>
    </row>
    <row r="70" spans="1:18">
      <c r="A70" s="63">
        <v>5520</v>
      </c>
      <c r="B70" s="10" t="s">
        <v>22</v>
      </c>
      <c r="C70" s="10">
        <v>15881.72</v>
      </c>
      <c r="D70" s="10">
        <v>15060.71</v>
      </c>
      <c r="E70" s="3"/>
      <c r="F70" s="3">
        <v>11428.9</v>
      </c>
      <c r="G70" s="3">
        <v>0</v>
      </c>
      <c r="H70" s="3">
        <v>2500</v>
      </c>
      <c r="I70" s="3"/>
      <c r="J70" s="64">
        <v>2500</v>
      </c>
      <c r="K70" s="64">
        <f t="shared" si="13"/>
        <v>0</v>
      </c>
      <c r="L70" s="3">
        <v>2500</v>
      </c>
      <c r="M70" s="3">
        <v>3000</v>
      </c>
      <c r="N70" s="3">
        <v>3000</v>
      </c>
      <c r="O70" s="3">
        <v>3000</v>
      </c>
      <c r="P70" s="3">
        <v>3000</v>
      </c>
      <c r="Q70" s="3"/>
      <c r="R70" s="46" t="s">
        <v>65</v>
      </c>
    </row>
    <row r="71" spans="1:18">
      <c r="A71" s="63">
        <v>5525</v>
      </c>
      <c r="B71" s="10" t="s">
        <v>23</v>
      </c>
      <c r="C71" s="10">
        <v>2548.13</v>
      </c>
      <c r="D71" s="10">
        <v>0</v>
      </c>
      <c r="E71" s="3">
        <v>4480</v>
      </c>
      <c r="F71" s="3">
        <v>119.53</v>
      </c>
      <c r="G71" s="3">
        <v>0</v>
      </c>
      <c r="H71" s="3">
        <v>5000</v>
      </c>
      <c r="I71" s="3"/>
      <c r="J71" s="64">
        <v>5000</v>
      </c>
      <c r="K71" s="64">
        <f t="shared" si="13"/>
        <v>0</v>
      </c>
      <c r="L71" s="3">
        <v>5000</v>
      </c>
      <c r="M71" s="3">
        <v>5000</v>
      </c>
      <c r="N71" s="3">
        <v>5000</v>
      </c>
      <c r="O71" s="3">
        <v>5000</v>
      </c>
      <c r="P71" s="3">
        <v>5000</v>
      </c>
      <c r="Q71" s="3"/>
      <c r="R71" s="46" t="s">
        <v>193</v>
      </c>
    </row>
    <row r="72" spans="1:18" ht="18" customHeight="1">
      <c r="A72" s="63">
        <v>5530</v>
      </c>
      <c r="B72" s="10" t="s">
        <v>24</v>
      </c>
      <c r="C72" s="10">
        <v>79329.06</v>
      </c>
      <c r="D72" s="10">
        <v>95284.72</v>
      </c>
      <c r="E72" s="3">
        <v>83338.17</v>
      </c>
      <c r="F72" s="3">
        <v>89998.82</v>
      </c>
      <c r="G72" s="3">
        <v>121991.41</v>
      </c>
      <c r="H72" s="3">
        <v>95000</v>
      </c>
      <c r="I72" s="3">
        <v>41336.050000000003</v>
      </c>
      <c r="J72" s="64">
        <v>95000</v>
      </c>
      <c r="K72" s="64">
        <f t="shared" si="13"/>
        <v>0</v>
      </c>
      <c r="L72" s="3">
        <v>95000</v>
      </c>
      <c r="M72" s="3">
        <v>73000</v>
      </c>
      <c r="N72" s="3">
        <v>73000</v>
      </c>
      <c r="O72" s="3">
        <v>73000</v>
      </c>
      <c r="P72" s="3">
        <v>73000</v>
      </c>
      <c r="Q72" s="3"/>
      <c r="R72" s="46" t="s">
        <v>85</v>
      </c>
    </row>
    <row r="73" spans="1:18" ht="18" customHeight="1">
      <c r="A73" s="63">
        <v>5531</v>
      </c>
      <c r="B73" s="10" t="s">
        <v>170</v>
      </c>
      <c r="C73" s="10">
        <v>0</v>
      </c>
      <c r="D73" s="10">
        <v>0</v>
      </c>
      <c r="E73" s="3">
        <v>13266.59</v>
      </c>
      <c r="F73" s="3">
        <v>16202.64</v>
      </c>
      <c r="G73" s="3">
        <v>260.58</v>
      </c>
      <c r="H73" s="3">
        <v>2000</v>
      </c>
      <c r="I73" s="3">
        <v>3198.45</v>
      </c>
      <c r="J73" s="64">
        <v>5500</v>
      </c>
      <c r="K73" s="64">
        <f t="shared" si="13"/>
        <v>3500</v>
      </c>
      <c r="L73" s="3">
        <v>3500</v>
      </c>
      <c r="M73" s="3">
        <v>5000</v>
      </c>
      <c r="N73" s="3">
        <v>5000</v>
      </c>
      <c r="O73" s="3">
        <v>5000</v>
      </c>
      <c r="P73" s="3">
        <v>5000</v>
      </c>
      <c r="Q73" s="3"/>
      <c r="R73" s="46" t="s">
        <v>149</v>
      </c>
    </row>
    <row r="74" spans="1:18" ht="15" customHeight="1">
      <c r="A74" s="63">
        <v>5540</v>
      </c>
      <c r="B74" s="10" t="s">
        <v>124</v>
      </c>
      <c r="C74" s="10">
        <v>12600</v>
      </c>
      <c r="D74" s="10">
        <v>8313.5499999999993</v>
      </c>
      <c r="E74" s="3">
        <v>17256.5</v>
      </c>
      <c r="F74" s="3">
        <v>22264.06</v>
      </c>
      <c r="G74" s="3">
        <v>13040.92</v>
      </c>
      <c r="H74" s="3">
        <v>15000</v>
      </c>
      <c r="I74" s="3">
        <v>2523</v>
      </c>
      <c r="J74" s="64">
        <v>15000</v>
      </c>
      <c r="K74" s="64">
        <f t="shared" si="13"/>
        <v>0</v>
      </c>
      <c r="L74" s="3">
        <v>15000</v>
      </c>
      <c r="M74" s="3">
        <v>15000</v>
      </c>
      <c r="N74" s="3">
        <v>15000</v>
      </c>
      <c r="O74" s="3">
        <v>15000</v>
      </c>
      <c r="P74" s="3">
        <v>15000</v>
      </c>
      <c r="Q74" s="3"/>
      <c r="R74" s="46"/>
    </row>
    <row r="75" spans="1:18" ht="20.25" customHeight="1">
      <c r="A75" s="63">
        <v>5570</v>
      </c>
      <c r="B75" s="10" t="s">
        <v>47</v>
      </c>
      <c r="C75" s="10">
        <v>0</v>
      </c>
      <c r="D75" s="10">
        <v>21343.7</v>
      </c>
      <c r="E75" s="3">
        <v>13463.6</v>
      </c>
      <c r="F75" s="3">
        <v>16147.28</v>
      </c>
      <c r="G75" s="3">
        <v>4518.49</v>
      </c>
      <c r="H75" s="3">
        <v>15000</v>
      </c>
      <c r="I75" s="3">
        <v>11985.55</v>
      </c>
      <c r="J75" s="64">
        <v>15000</v>
      </c>
      <c r="K75" s="64">
        <f t="shared" si="13"/>
        <v>0</v>
      </c>
      <c r="L75" s="3">
        <v>15000</v>
      </c>
      <c r="M75" s="3">
        <v>18000</v>
      </c>
      <c r="N75" s="3">
        <v>18000</v>
      </c>
      <c r="O75" s="3">
        <v>18000</v>
      </c>
      <c r="P75" s="3">
        <v>18000</v>
      </c>
      <c r="Q75" s="3"/>
      <c r="R75" s="46" t="s">
        <v>66</v>
      </c>
    </row>
    <row r="76" spans="1:18" ht="20.25" customHeight="1">
      <c r="A76" s="63">
        <v>5580</v>
      </c>
      <c r="B76" s="10" t="s">
        <v>172</v>
      </c>
      <c r="C76" s="10">
        <v>0</v>
      </c>
      <c r="D76" s="10">
        <v>0</v>
      </c>
      <c r="E76" s="3">
        <v>10909.09</v>
      </c>
      <c r="F76" s="3">
        <v>10069.450000000001</v>
      </c>
      <c r="G76" s="3">
        <v>4773.96</v>
      </c>
      <c r="H76" s="3">
        <v>5000</v>
      </c>
      <c r="I76" s="3">
        <v>1716.4</v>
      </c>
      <c r="J76" s="64">
        <v>5000</v>
      </c>
      <c r="K76" s="64">
        <f t="shared" si="13"/>
        <v>0</v>
      </c>
      <c r="L76" s="3">
        <v>10000</v>
      </c>
      <c r="M76" s="3">
        <v>15000</v>
      </c>
      <c r="N76" s="3">
        <v>15000</v>
      </c>
      <c r="O76" s="3">
        <v>15000</v>
      </c>
      <c r="P76" s="3">
        <v>15000</v>
      </c>
      <c r="Q76" s="3"/>
      <c r="R76" s="46" t="s">
        <v>67</v>
      </c>
    </row>
    <row r="77" spans="1:18" ht="22.25" customHeight="1">
      <c r="A77" s="63">
        <v>5590</v>
      </c>
      <c r="B77" s="10" t="s">
        <v>48</v>
      </c>
      <c r="C77" s="10">
        <v>54612.83</v>
      </c>
      <c r="D77" s="10">
        <v>12185</v>
      </c>
      <c r="E77" s="3">
        <v>16354</v>
      </c>
      <c r="F77" s="3">
        <v>12623.37</v>
      </c>
      <c r="G77" s="3">
        <v>3920</v>
      </c>
      <c r="H77" s="3">
        <v>4000</v>
      </c>
      <c r="I77" s="3">
        <v>1275.26</v>
      </c>
      <c r="J77" s="64">
        <v>4000</v>
      </c>
      <c r="K77" s="64">
        <f t="shared" si="13"/>
        <v>0</v>
      </c>
      <c r="L77" s="3">
        <v>0</v>
      </c>
      <c r="M77" s="3">
        <v>12000</v>
      </c>
      <c r="N77" s="3">
        <v>12000</v>
      </c>
      <c r="O77" s="3">
        <v>12000</v>
      </c>
      <c r="P77" s="3">
        <v>12000</v>
      </c>
      <c r="Q77" s="3"/>
      <c r="R77" s="46" t="s">
        <v>62</v>
      </c>
    </row>
    <row r="78" spans="1:18" ht="20.25" customHeight="1">
      <c r="A78" s="63">
        <v>5605</v>
      </c>
      <c r="B78" s="10" t="s">
        <v>125</v>
      </c>
      <c r="C78" s="10">
        <v>550.63</v>
      </c>
      <c r="D78" s="10">
        <v>2046.13</v>
      </c>
      <c r="E78" s="3">
        <v>634.16999999999996</v>
      </c>
      <c r="F78" s="3">
        <v>1138.58</v>
      </c>
      <c r="G78" s="3">
        <v>834</v>
      </c>
      <c r="H78" s="3">
        <v>1500</v>
      </c>
      <c r="I78" s="3">
        <v>581.25</v>
      </c>
      <c r="J78" s="64">
        <v>1500</v>
      </c>
      <c r="K78" s="64">
        <f t="shared" si="13"/>
        <v>0</v>
      </c>
      <c r="L78" s="3">
        <v>1500</v>
      </c>
      <c r="M78" s="3">
        <v>4000</v>
      </c>
      <c r="N78" s="3">
        <v>4000</v>
      </c>
      <c r="O78" s="3">
        <v>4000</v>
      </c>
      <c r="P78" s="3">
        <v>4000</v>
      </c>
      <c r="Q78" s="3"/>
      <c r="R78" s="46"/>
    </row>
    <row r="79" spans="1:18">
      <c r="A79" s="63">
        <v>5650</v>
      </c>
      <c r="B79" s="10" t="s">
        <v>103</v>
      </c>
      <c r="C79" s="10">
        <v>2861.65</v>
      </c>
      <c r="D79" s="10">
        <v>3134.22</v>
      </c>
      <c r="E79" s="3">
        <v>3847.32</v>
      </c>
      <c r="F79" s="3">
        <v>4913.9399999999996</v>
      </c>
      <c r="G79" s="3">
        <v>4096.79</v>
      </c>
      <c r="H79" s="3">
        <v>4700</v>
      </c>
      <c r="I79" s="3">
        <v>2048.7600000000002</v>
      </c>
      <c r="J79" s="64">
        <v>4500</v>
      </c>
      <c r="K79" s="64">
        <f t="shared" si="13"/>
        <v>-200</v>
      </c>
      <c r="L79" s="3">
        <v>4500</v>
      </c>
      <c r="M79" s="3">
        <v>3000</v>
      </c>
      <c r="N79" s="3">
        <v>3000</v>
      </c>
      <c r="O79" s="3">
        <v>3000</v>
      </c>
      <c r="P79" s="3">
        <v>3000</v>
      </c>
      <c r="Q79" s="3"/>
      <c r="R79" s="46"/>
    </row>
    <row r="80" spans="1:18">
      <c r="A80" s="63">
        <v>5718</v>
      </c>
      <c r="B80" s="10" t="s">
        <v>190</v>
      </c>
      <c r="C80" s="10"/>
      <c r="D80" s="10"/>
      <c r="E80" s="3"/>
      <c r="F80" s="3"/>
      <c r="G80" s="3">
        <v>254.34</v>
      </c>
      <c r="H80" s="3">
        <v>0</v>
      </c>
      <c r="I80" s="3"/>
      <c r="J80" s="64">
        <f t="shared" si="12"/>
        <v>0</v>
      </c>
      <c r="K80" s="64"/>
      <c r="L80" s="3">
        <v>0</v>
      </c>
      <c r="M80" s="3"/>
      <c r="N80" s="3"/>
      <c r="O80" s="3"/>
      <c r="P80" s="3"/>
      <c r="Q80" s="3"/>
      <c r="R80" s="46"/>
    </row>
    <row r="81" spans="1:18">
      <c r="A81" s="63">
        <v>5720</v>
      </c>
      <c r="B81" s="10" t="s">
        <v>166</v>
      </c>
      <c r="C81" s="10">
        <v>1113.95</v>
      </c>
      <c r="D81" s="10">
        <v>6548.52</v>
      </c>
      <c r="E81" s="3">
        <v>673.38</v>
      </c>
      <c r="F81" s="3">
        <v>1979.03</v>
      </c>
      <c r="G81" s="3">
        <v>4252.63</v>
      </c>
      <c r="H81" s="3">
        <v>6000</v>
      </c>
      <c r="I81" s="3">
        <v>3562.18</v>
      </c>
      <c r="J81" s="64">
        <v>6000</v>
      </c>
      <c r="K81" s="64">
        <f>+J81-H81</f>
        <v>0</v>
      </c>
      <c r="L81" s="3">
        <v>6000</v>
      </c>
      <c r="M81" s="3">
        <v>10000</v>
      </c>
      <c r="N81" s="3">
        <v>10000</v>
      </c>
      <c r="O81" s="3">
        <v>10000</v>
      </c>
      <c r="P81" s="3">
        <v>10000</v>
      </c>
      <c r="Q81" s="3"/>
      <c r="R81" s="46" t="s">
        <v>63</v>
      </c>
    </row>
    <row r="82" spans="1:18">
      <c r="A82" s="63">
        <v>5730</v>
      </c>
      <c r="B82" s="10" t="s">
        <v>25</v>
      </c>
      <c r="C82" s="10">
        <v>565</v>
      </c>
      <c r="D82" s="10">
        <v>13258.12</v>
      </c>
      <c r="E82" s="3">
        <v>870</v>
      </c>
      <c r="F82" s="3">
        <v>0</v>
      </c>
      <c r="G82" s="3">
        <v>0</v>
      </c>
      <c r="H82" s="66">
        <v>0</v>
      </c>
      <c r="I82" s="3"/>
      <c r="J82" s="64">
        <f t="shared" si="12"/>
        <v>0</v>
      </c>
      <c r="K82" s="64">
        <f>+J82-H82</f>
        <v>0</v>
      </c>
      <c r="L82" s="66">
        <v>0</v>
      </c>
      <c r="M82" s="67" t="s">
        <v>165</v>
      </c>
      <c r="N82" s="67" t="s">
        <v>165</v>
      </c>
      <c r="O82" s="67" t="s">
        <v>165</v>
      </c>
      <c r="P82" s="67" t="s">
        <v>165</v>
      </c>
      <c r="Q82" s="66"/>
      <c r="R82" s="46"/>
    </row>
    <row r="83" spans="1:18">
      <c r="A83" s="63"/>
      <c r="B83" s="9" t="s">
        <v>92</v>
      </c>
      <c r="C83" s="9">
        <f t="shared" ref="C83:K83" si="14">SUM(C60:C82)</f>
        <v>206563.84</v>
      </c>
      <c r="D83" s="9">
        <f t="shared" si="14"/>
        <v>185375.69</v>
      </c>
      <c r="E83" s="4">
        <f t="shared" si="14"/>
        <v>179596.15000000002</v>
      </c>
      <c r="F83" s="4">
        <f t="shared" si="14"/>
        <v>237969.62999999998</v>
      </c>
      <c r="G83" s="4">
        <f t="shared" si="14"/>
        <v>175898.5</v>
      </c>
      <c r="H83" s="4">
        <f t="shared" ref="H83" si="15">SUM(H60:H82)</f>
        <v>169900</v>
      </c>
      <c r="I83" s="4">
        <f t="shared" si="14"/>
        <v>73403.359999999971</v>
      </c>
      <c r="J83" s="4">
        <f t="shared" si="14"/>
        <v>173200</v>
      </c>
      <c r="K83" s="4">
        <f t="shared" si="14"/>
        <v>3300</v>
      </c>
      <c r="L83" s="4">
        <f t="shared" ref="L83:P83" si="16">SUM(L60:L82)</f>
        <v>169700</v>
      </c>
      <c r="M83" s="4">
        <f t="shared" si="16"/>
        <v>173702</v>
      </c>
      <c r="N83" s="4">
        <f t="shared" si="16"/>
        <v>173704</v>
      </c>
      <c r="O83" s="4">
        <f t="shared" si="16"/>
        <v>173706</v>
      </c>
      <c r="P83" s="4">
        <f t="shared" si="16"/>
        <v>173708</v>
      </c>
      <c r="Q83" s="4">
        <f>+L83-H83</f>
        <v>-200</v>
      </c>
      <c r="R83" s="46"/>
    </row>
    <row r="84" spans="1:18">
      <c r="A84" s="63"/>
      <c r="B84" s="10"/>
      <c r="C84" s="10"/>
      <c r="D84" s="10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46"/>
      <c r="R84" s="46"/>
    </row>
    <row r="85" spans="1:18">
      <c r="A85" s="63"/>
      <c r="B85" s="9" t="s">
        <v>26</v>
      </c>
      <c r="C85" s="9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46"/>
      <c r="R85" s="46"/>
    </row>
    <row r="86" spans="1:18">
      <c r="A86" s="63">
        <v>5753</v>
      </c>
      <c r="B86" s="10" t="s">
        <v>27</v>
      </c>
      <c r="C86" s="10">
        <v>13169.33</v>
      </c>
      <c r="D86" s="10">
        <v>13745.33</v>
      </c>
      <c r="E86" s="3">
        <v>13739.33</v>
      </c>
      <c r="F86" s="3">
        <v>13851.33</v>
      </c>
      <c r="G86" s="3">
        <v>13865.33</v>
      </c>
      <c r="H86" s="3">
        <v>14000</v>
      </c>
      <c r="I86" s="3">
        <v>7205.66</v>
      </c>
      <c r="J86" s="64">
        <v>14000</v>
      </c>
      <c r="K86" s="64">
        <f>+J86-H86</f>
        <v>0</v>
      </c>
      <c r="L86" s="3">
        <v>14500</v>
      </c>
      <c r="M86" s="3">
        <v>14001</v>
      </c>
      <c r="N86" s="3">
        <v>14002</v>
      </c>
      <c r="O86" s="3">
        <v>14003</v>
      </c>
      <c r="P86" s="3">
        <v>14004</v>
      </c>
      <c r="Q86" s="3"/>
      <c r="R86" s="46"/>
    </row>
    <row r="87" spans="1:18">
      <c r="A87" s="63"/>
      <c r="B87" s="10"/>
      <c r="C87" s="10"/>
      <c r="D87" s="10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46"/>
    </row>
    <row r="88" spans="1:18">
      <c r="A88" s="69"/>
      <c r="B88" s="9" t="s">
        <v>28</v>
      </c>
      <c r="C88" s="9">
        <f t="shared" ref="C88:K88" si="17">SUM(C86:C87)</f>
        <v>13169.33</v>
      </c>
      <c r="D88" s="9">
        <f t="shared" si="17"/>
        <v>13745.33</v>
      </c>
      <c r="E88" s="4">
        <f t="shared" si="17"/>
        <v>13739.33</v>
      </c>
      <c r="F88" s="4">
        <f t="shared" si="17"/>
        <v>13851.33</v>
      </c>
      <c r="G88" s="4">
        <f t="shared" si="17"/>
        <v>13865.33</v>
      </c>
      <c r="H88" s="4">
        <f t="shared" ref="H88" si="18">SUM(H86:H87)</f>
        <v>14000</v>
      </c>
      <c r="I88" s="4">
        <f t="shared" si="17"/>
        <v>7205.66</v>
      </c>
      <c r="J88" s="4">
        <f t="shared" si="17"/>
        <v>14000</v>
      </c>
      <c r="K88" s="4">
        <f t="shared" si="17"/>
        <v>0</v>
      </c>
      <c r="L88" s="4">
        <f t="shared" ref="L88:P88" si="19">SUM(L86:L87)</f>
        <v>14500</v>
      </c>
      <c r="M88" s="4">
        <f t="shared" si="19"/>
        <v>14001</v>
      </c>
      <c r="N88" s="4">
        <f t="shared" si="19"/>
        <v>14002</v>
      </c>
      <c r="O88" s="4">
        <f t="shared" si="19"/>
        <v>14003</v>
      </c>
      <c r="P88" s="4">
        <f t="shared" si="19"/>
        <v>14004</v>
      </c>
      <c r="Q88" s="4">
        <f>+L88-H88</f>
        <v>500</v>
      </c>
      <c r="R88" s="46"/>
    </row>
    <row r="89" spans="1:18">
      <c r="A89" s="63"/>
      <c r="B89" s="10"/>
      <c r="C89" s="10"/>
      <c r="D89" s="10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46"/>
      <c r="R89" s="46"/>
    </row>
    <row r="90" spans="1:18">
      <c r="A90" s="63"/>
      <c r="B90" s="9" t="s">
        <v>29</v>
      </c>
      <c r="C90" s="9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46"/>
      <c r="R90" s="46"/>
    </row>
    <row r="91" spans="1:18">
      <c r="A91" s="63">
        <v>5780</v>
      </c>
      <c r="B91" s="10" t="s">
        <v>30</v>
      </c>
      <c r="C91" s="10">
        <v>42030</v>
      </c>
      <c r="D91" s="10">
        <v>23010</v>
      </c>
      <c r="E91" s="3">
        <v>33745.81</v>
      </c>
      <c r="F91" s="3">
        <v>20340.849999999999</v>
      </c>
      <c r="G91" s="3">
        <v>42741.32</v>
      </c>
      <c r="H91" s="3">
        <v>47500</v>
      </c>
      <c r="I91" s="3">
        <v>28930.31</v>
      </c>
      <c r="J91" s="64">
        <v>49600</v>
      </c>
      <c r="K91" s="64">
        <f>+J91-H91</f>
        <v>2100</v>
      </c>
      <c r="L91" s="3">
        <v>86025</v>
      </c>
      <c r="M91" s="3">
        <f>I91+1125</f>
        <v>30055.31</v>
      </c>
      <c r="N91" s="3">
        <f>J91+1125</f>
        <v>50725</v>
      </c>
      <c r="O91" s="3">
        <f>K91+1125</f>
        <v>3225</v>
      </c>
      <c r="P91" s="3">
        <f>L91+1125</f>
        <v>87150</v>
      </c>
      <c r="Q91" s="3"/>
      <c r="R91" s="70" t="s">
        <v>157</v>
      </c>
    </row>
    <row r="92" spans="1:18" ht="19.25" customHeight="1">
      <c r="A92" s="63">
        <v>5781</v>
      </c>
      <c r="B92" s="10" t="s">
        <v>31</v>
      </c>
      <c r="C92" s="10">
        <v>45042.46</v>
      </c>
      <c r="D92" s="10">
        <v>44977.2</v>
      </c>
      <c r="E92" s="3">
        <v>45315.65</v>
      </c>
      <c r="F92" s="3">
        <v>40238.36</v>
      </c>
      <c r="G92" s="3">
        <v>45559.199999999997</v>
      </c>
      <c r="H92" s="3">
        <v>51000</v>
      </c>
      <c r="I92" s="3">
        <v>34014.269999999997</v>
      </c>
      <c r="J92" s="64">
        <v>58310</v>
      </c>
      <c r="K92" s="64">
        <f>+J92-H92</f>
        <v>7310</v>
      </c>
      <c r="L92" s="3">
        <v>59412</v>
      </c>
      <c r="M92" s="3">
        <f>I92+2350</f>
        <v>36364.269999999997</v>
      </c>
      <c r="N92" s="3">
        <f>J92+2350</f>
        <v>60660</v>
      </c>
      <c r="O92" s="3">
        <f>K92+2350</f>
        <v>9660</v>
      </c>
      <c r="P92" s="3">
        <f>L92+2350</f>
        <v>61762</v>
      </c>
      <c r="Q92" s="3"/>
      <c r="R92" s="70" t="s">
        <v>156</v>
      </c>
    </row>
    <row r="93" spans="1:18">
      <c r="A93" s="63">
        <v>5783</v>
      </c>
      <c r="B93" s="10" t="s">
        <v>32</v>
      </c>
      <c r="C93" s="10">
        <v>0</v>
      </c>
      <c r="D93" s="10">
        <v>3478</v>
      </c>
      <c r="E93" s="3">
        <v>3878</v>
      </c>
      <c r="F93" s="3">
        <v>370</v>
      </c>
      <c r="G93" s="3">
        <v>20431.5</v>
      </c>
      <c r="H93" s="3">
        <f>14500+15600</f>
        <v>30100</v>
      </c>
      <c r="I93" s="3">
        <v>11377.75</v>
      </c>
      <c r="J93" s="64">
        <v>25000</v>
      </c>
      <c r="K93" s="64">
        <f>+J93-H93</f>
        <v>-5100</v>
      </c>
      <c r="L93" s="3"/>
      <c r="M93" s="3">
        <v>5000</v>
      </c>
      <c r="N93" s="3">
        <v>5000</v>
      </c>
      <c r="O93" s="3">
        <v>5000</v>
      </c>
      <c r="P93" s="3">
        <v>5000</v>
      </c>
      <c r="Q93" s="3"/>
      <c r="R93" s="46" t="s">
        <v>82</v>
      </c>
    </row>
    <row r="94" spans="1:18">
      <c r="A94" s="63">
        <v>5785</v>
      </c>
      <c r="B94" s="10" t="s">
        <v>34</v>
      </c>
      <c r="C94" s="10"/>
      <c r="D94" s="10"/>
      <c r="E94" s="3"/>
      <c r="F94" s="3"/>
      <c r="G94" s="3">
        <v>250</v>
      </c>
      <c r="H94" s="3">
        <f>25*12</f>
        <v>300</v>
      </c>
      <c r="I94" s="3">
        <v>407.5</v>
      </c>
      <c r="J94" s="64">
        <v>700</v>
      </c>
      <c r="K94" s="64"/>
      <c r="L94" s="3">
        <f t="shared" ref="L94" si="20">+J94*0.03+J94</f>
        <v>721</v>
      </c>
      <c r="M94" s="3"/>
      <c r="N94" s="3"/>
      <c r="O94" s="3"/>
      <c r="P94" s="3"/>
      <c r="Q94" s="3"/>
      <c r="R94" s="46" t="s">
        <v>81</v>
      </c>
    </row>
    <row r="95" spans="1:18">
      <c r="A95" s="63">
        <v>5788</v>
      </c>
      <c r="B95" s="10" t="s">
        <v>33</v>
      </c>
      <c r="C95" s="10">
        <v>3273.9</v>
      </c>
      <c r="D95" s="10">
        <v>4888.6000000000004</v>
      </c>
      <c r="E95" s="3">
        <v>8770.66</v>
      </c>
      <c r="F95" s="3">
        <v>7977.27</v>
      </c>
      <c r="G95" s="3">
        <v>6641.26</v>
      </c>
      <c r="H95" s="3">
        <v>10000</v>
      </c>
      <c r="I95" s="3">
        <v>2297.66</v>
      </c>
      <c r="J95" s="64">
        <v>10000</v>
      </c>
      <c r="K95" s="64">
        <f>-J95+I95</f>
        <v>-7702.34</v>
      </c>
      <c r="L95" s="3">
        <v>6500</v>
      </c>
      <c r="M95" s="3">
        <v>3500</v>
      </c>
      <c r="N95" s="3">
        <v>3500</v>
      </c>
      <c r="O95" s="3">
        <v>3500</v>
      </c>
      <c r="P95" s="3">
        <v>3500</v>
      </c>
      <c r="Q95" s="3"/>
      <c r="R95" s="46" t="s">
        <v>155</v>
      </c>
    </row>
    <row r="96" spans="1:18">
      <c r="A96" s="63">
        <v>5790</v>
      </c>
      <c r="B96" s="10" t="s">
        <v>34</v>
      </c>
      <c r="C96" s="10">
        <v>8069.49</v>
      </c>
      <c r="D96" s="10">
        <v>6908.09</v>
      </c>
      <c r="E96" s="3">
        <v>8693.5300000000007</v>
      </c>
      <c r="F96" s="3">
        <v>6146.17</v>
      </c>
      <c r="G96" s="3">
        <v>10867.49</v>
      </c>
      <c r="H96" s="3">
        <v>12000</v>
      </c>
      <c r="I96" s="3">
        <v>7925.84</v>
      </c>
      <c r="J96" s="64">
        <v>13500</v>
      </c>
      <c r="K96" s="64">
        <f>+J96-H96</f>
        <v>1500</v>
      </c>
      <c r="L96" s="3">
        <f>+J96*0.03+J96</f>
        <v>13905</v>
      </c>
      <c r="M96" s="3">
        <v>7500</v>
      </c>
      <c r="N96" s="3">
        <v>7500</v>
      </c>
      <c r="O96" s="3">
        <v>7500</v>
      </c>
      <c r="P96" s="3">
        <v>7500</v>
      </c>
      <c r="Q96" s="3"/>
    </row>
    <row r="97" spans="1:18">
      <c r="A97" s="63"/>
      <c r="B97" s="10"/>
      <c r="C97" s="10"/>
      <c r="D97" s="10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46"/>
    </row>
    <row r="98" spans="1:18">
      <c r="A98" s="63"/>
      <c r="B98" s="9" t="s">
        <v>35</v>
      </c>
      <c r="C98" s="9">
        <f t="shared" ref="C98:P98" si="21">SUM(C91:C97)</f>
        <v>98415.849999999991</v>
      </c>
      <c r="D98" s="9">
        <f t="shared" si="21"/>
        <v>83261.89</v>
      </c>
      <c r="E98" s="4">
        <f t="shared" si="21"/>
        <v>100403.65</v>
      </c>
      <c r="F98" s="4">
        <f t="shared" si="21"/>
        <v>75072.649999999994</v>
      </c>
      <c r="G98" s="4">
        <f t="shared" si="21"/>
        <v>126490.76999999999</v>
      </c>
      <c r="H98" s="4">
        <f t="shared" ref="H98" si="22">SUM(H91:H97)</f>
        <v>150900</v>
      </c>
      <c r="I98" s="4">
        <f t="shared" si="21"/>
        <v>84953.33</v>
      </c>
      <c r="J98" s="4">
        <f t="shared" si="21"/>
        <v>157110</v>
      </c>
      <c r="K98" s="4">
        <f t="shared" si="21"/>
        <v>-1892.3400000000001</v>
      </c>
      <c r="L98" s="4">
        <f>SUM(L91:L97)</f>
        <v>166563</v>
      </c>
      <c r="M98" s="4">
        <f t="shared" si="21"/>
        <v>82419.58</v>
      </c>
      <c r="N98" s="4">
        <f t="shared" si="21"/>
        <v>127385</v>
      </c>
      <c r="O98" s="4">
        <f t="shared" si="21"/>
        <v>28885</v>
      </c>
      <c r="P98" s="4">
        <f t="shared" si="21"/>
        <v>164912</v>
      </c>
      <c r="Q98" s="4">
        <f>+L98-H98</f>
        <v>15663</v>
      </c>
      <c r="R98" s="46"/>
    </row>
    <row r="99" spans="1:18">
      <c r="A99" s="63"/>
      <c r="B99" s="10"/>
      <c r="C99" s="10"/>
      <c r="D99" s="10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46"/>
      <c r="R99" s="46"/>
    </row>
    <row r="100" spans="1:18">
      <c r="A100" s="63"/>
      <c r="B100" s="9" t="s">
        <v>115</v>
      </c>
      <c r="C100" s="9"/>
      <c r="D100" s="9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46"/>
      <c r="R100" s="46"/>
    </row>
    <row r="101" spans="1:18">
      <c r="A101" s="63">
        <v>5810</v>
      </c>
      <c r="B101" s="10" t="s">
        <v>126</v>
      </c>
      <c r="C101" s="10">
        <v>5386.45</v>
      </c>
      <c r="D101" s="10">
        <v>6161.49</v>
      </c>
      <c r="E101" s="3">
        <v>6130.67</v>
      </c>
      <c r="F101" s="3">
        <v>6457.74</v>
      </c>
      <c r="G101" s="3">
        <v>6713.93</v>
      </c>
      <c r="H101" s="3">
        <v>6489</v>
      </c>
      <c r="I101" s="3">
        <v>2335.25</v>
      </c>
      <c r="J101" s="64">
        <v>6489</v>
      </c>
      <c r="K101" s="64">
        <f>+J101-H101</f>
        <v>0</v>
      </c>
      <c r="L101" s="3">
        <v>6685</v>
      </c>
      <c r="M101" s="3">
        <v>5500</v>
      </c>
      <c r="N101" s="3">
        <v>5500</v>
      </c>
      <c r="O101" s="3">
        <v>5500</v>
      </c>
      <c r="P101" s="3">
        <v>5500</v>
      </c>
      <c r="Q101" s="3"/>
      <c r="R101" s="46" t="s">
        <v>83</v>
      </c>
    </row>
    <row r="102" spans="1:18">
      <c r="A102" s="63">
        <v>5820</v>
      </c>
      <c r="B102" s="10" t="s">
        <v>36</v>
      </c>
      <c r="C102" s="10">
        <v>2739.79</v>
      </c>
      <c r="D102" s="10">
        <v>2055.6</v>
      </c>
      <c r="E102" s="3">
        <v>2406.11</v>
      </c>
      <c r="F102" s="3">
        <v>2508.2600000000002</v>
      </c>
      <c r="G102" s="3">
        <v>2116.27</v>
      </c>
      <c r="H102" s="3">
        <v>2575</v>
      </c>
      <c r="I102" s="3">
        <v>1205.8</v>
      </c>
      <c r="J102" s="64">
        <v>2100</v>
      </c>
      <c r="K102" s="64">
        <f>+J102-H102</f>
        <v>-475</v>
      </c>
      <c r="L102" s="3">
        <v>2250</v>
      </c>
      <c r="M102" s="3">
        <v>2500</v>
      </c>
      <c r="N102" s="3">
        <v>2500</v>
      </c>
      <c r="O102" s="3">
        <v>2500</v>
      </c>
      <c r="P102" s="3">
        <v>2500</v>
      </c>
      <c r="Q102" s="3"/>
      <c r="R102" s="46" t="s">
        <v>83</v>
      </c>
    </row>
    <row r="103" spans="1:18">
      <c r="A103" s="63">
        <v>5830</v>
      </c>
      <c r="B103" s="10" t="s">
        <v>116</v>
      </c>
      <c r="C103" s="10">
        <v>2406.0300000000002</v>
      </c>
      <c r="D103" s="10">
        <v>5306.91</v>
      </c>
      <c r="E103" s="3">
        <v>5182.16</v>
      </c>
      <c r="F103" s="3">
        <v>4180.13</v>
      </c>
      <c r="G103" s="3">
        <v>4346.6899999999996</v>
      </c>
      <c r="H103" s="3">
        <v>3250</v>
      </c>
      <c r="I103" s="3">
        <v>1680.16</v>
      </c>
      <c r="J103" s="64">
        <v>3250</v>
      </c>
      <c r="K103" s="64">
        <f>+J103-H103</f>
        <v>0</v>
      </c>
      <c r="L103" s="3">
        <v>4000</v>
      </c>
      <c r="M103" s="3">
        <v>3500</v>
      </c>
      <c r="N103" s="3">
        <v>3500</v>
      </c>
      <c r="O103" s="3">
        <v>3500</v>
      </c>
      <c r="P103" s="3">
        <v>3500</v>
      </c>
      <c r="Q103" s="3"/>
      <c r="R103" s="46" t="s">
        <v>83</v>
      </c>
    </row>
    <row r="104" spans="1:18">
      <c r="A104" s="63">
        <v>5840</v>
      </c>
      <c r="B104" s="10" t="s">
        <v>37</v>
      </c>
      <c r="C104" s="10">
        <v>1039.03</v>
      </c>
      <c r="D104" s="10">
        <v>1046.3800000000001</v>
      </c>
      <c r="E104" s="3">
        <v>998.96</v>
      </c>
      <c r="F104" s="3">
        <v>2128.38</v>
      </c>
      <c r="G104" s="3">
        <v>2492.0500000000002</v>
      </c>
      <c r="H104" s="3">
        <v>2200</v>
      </c>
      <c r="I104" s="3">
        <v>1520.5</v>
      </c>
      <c r="J104" s="64">
        <v>2600</v>
      </c>
      <c r="K104" s="64">
        <f>+J104-H104</f>
        <v>400</v>
      </c>
      <c r="L104" s="3">
        <v>2500</v>
      </c>
      <c r="M104" s="3">
        <v>1200</v>
      </c>
      <c r="N104" s="3">
        <v>1200</v>
      </c>
      <c r="O104" s="3">
        <v>1200</v>
      </c>
      <c r="P104" s="3">
        <v>1200</v>
      </c>
      <c r="Q104" s="3"/>
      <c r="R104" s="46" t="s">
        <v>83</v>
      </c>
    </row>
    <row r="105" spans="1:18">
      <c r="A105" s="63">
        <v>5850</v>
      </c>
      <c r="B105" s="10" t="s">
        <v>180</v>
      </c>
      <c r="C105" s="10">
        <v>0</v>
      </c>
      <c r="D105" s="10">
        <v>297.52999999999997</v>
      </c>
      <c r="E105" s="3"/>
      <c r="F105" s="3">
        <v>0</v>
      </c>
      <c r="G105" s="3"/>
      <c r="H105" s="3"/>
      <c r="I105" s="3"/>
      <c r="J105" s="64">
        <f t="shared" ref="J105" si="23">+I105/7*12</f>
        <v>0</v>
      </c>
      <c r="K105" s="64">
        <f>+J105-H105</f>
        <v>0</v>
      </c>
      <c r="L105" s="3">
        <f t="shared" ref="L105" si="24">+J105*0.03+J105</f>
        <v>0</v>
      </c>
      <c r="M105" s="3"/>
      <c r="N105" s="3"/>
      <c r="O105" s="3"/>
      <c r="P105" s="3"/>
      <c r="Q105" s="3"/>
      <c r="R105" s="46"/>
    </row>
    <row r="106" spans="1:18">
      <c r="A106" s="63"/>
      <c r="B106" s="9" t="s">
        <v>117</v>
      </c>
      <c r="C106" s="9">
        <f t="shared" ref="C106:K106" si="25">SUM(C101:C105)</f>
        <v>11571.300000000001</v>
      </c>
      <c r="D106" s="9">
        <f t="shared" si="25"/>
        <v>14867.910000000002</v>
      </c>
      <c r="E106" s="4">
        <f t="shared" si="25"/>
        <v>14717.900000000001</v>
      </c>
      <c r="F106" s="4">
        <f t="shared" si="25"/>
        <v>15274.510000000002</v>
      </c>
      <c r="G106" s="4">
        <f t="shared" si="25"/>
        <v>15668.939999999999</v>
      </c>
      <c r="H106" s="4">
        <f>SUM(H101:H105)</f>
        <v>14514</v>
      </c>
      <c r="I106" s="4">
        <f t="shared" si="25"/>
        <v>6741.71</v>
      </c>
      <c r="J106" s="4">
        <f t="shared" si="25"/>
        <v>14439</v>
      </c>
      <c r="K106" s="4">
        <f t="shared" si="25"/>
        <v>-75</v>
      </c>
      <c r="L106" s="4">
        <f>SUM(L101:L105)</f>
        <v>15435</v>
      </c>
      <c r="M106" s="4">
        <f>SUM(M101:M104)</f>
        <v>12700</v>
      </c>
      <c r="N106" s="4">
        <f>SUM(N101:N104)</f>
        <v>12700</v>
      </c>
      <c r="O106" s="4">
        <f>SUM(O101:O104)</f>
        <v>12700</v>
      </c>
      <c r="P106" s="4">
        <f>SUM(P101:P104)</f>
        <v>12700</v>
      </c>
      <c r="Q106" s="4">
        <f>+L106-H106</f>
        <v>921</v>
      </c>
      <c r="R106" s="46"/>
    </row>
    <row r="107" spans="1:18">
      <c r="A107" s="63"/>
      <c r="B107" s="9"/>
      <c r="C107" s="9"/>
      <c r="D107" s="9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46"/>
      <c r="R107" s="46"/>
    </row>
    <row r="108" spans="1:18">
      <c r="A108" s="63"/>
      <c r="B108" s="9" t="s">
        <v>95</v>
      </c>
      <c r="C108" s="9"/>
      <c r="D108" s="9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46"/>
      <c r="R108" s="46"/>
    </row>
    <row r="109" spans="1:18">
      <c r="A109" s="63">
        <v>5910</v>
      </c>
      <c r="B109" s="10" t="s">
        <v>118</v>
      </c>
      <c r="C109" s="10">
        <v>16019.19</v>
      </c>
      <c r="D109" s="10">
        <v>17475.599999999999</v>
      </c>
      <c r="E109" s="3">
        <v>13227.53</v>
      </c>
      <c r="F109" s="3">
        <v>8033.25</v>
      </c>
      <c r="G109" s="3">
        <v>27562.68</v>
      </c>
      <c r="H109" s="3">
        <f>23963+350</f>
        <v>24313</v>
      </c>
      <c r="I109" s="3">
        <v>14111.65</v>
      </c>
      <c r="J109" s="64">
        <v>24313</v>
      </c>
      <c r="K109" s="64">
        <f>+J109-H109</f>
        <v>0</v>
      </c>
      <c r="L109" s="3">
        <v>25704</v>
      </c>
      <c r="M109" s="3">
        <v>20000</v>
      </c>
      <c r="N109" s="3">
        <v>20000</v>
      </c>
      <c r="O109" s="3">
        <v>20000</v>
      </c>
      <c r="P109" s="3">
        <v>20000</v>
      </c>
      <c r="Q109" s="3"/>
      <c r="R109" s="46" t="s">
        <v>84</v>
      </c>
    </row>
    <row r="110" spans="1:18">
      <c r="A110" s="63">
        <v>5915</v>
      </c>
      <c r="B110" s="10" t="s">
        <v>102</v>
      </c>
      <c r="C110" s="10">
        <v>4393.3100000000004</v>
      </c>
      <c r="D110" s="10">
        <v>1741.83</v>
      </c>
      <c r="E110" s="3">
        <v>3884.9</v>
      </c>
      <c r="F110" s="3">
        <v>3131.99</v>
      </c>
      <c r="G110" s="3">
        <v>5420.78</v>
      </c>
      <c r="H110" s="3">
        <v>3050</v>
      </c>
      <c r="I110" s="3">
        <v>4933.3900000000003</v>
      </c>
      <c r="J110" s="64">
        <v>5000</v>
      </c>
      <c r="K110" s="64">
        <f>+J110-H110</f>
        <v>1950</v>
      </c>
      <c r="L110" s="3">
        <v>5500</v>
      </c>
      <c r="M110" s="3">
        <v>3000</v>
      </c>
      <c r="N110" s="3">
        <v>3000</v>
      </c>
      <c r="O110" s="3">
        <v>3000</v>
      </c>
      <c r="P110" s="3">
        <v>3000</v>
      </c>
      <c r="Q110" s="3"/>
      <c r="R110" s="46"/>
    </row>
    <row r="111" spans="1:18">
      <c r="A111" s="63">
        <v>5920</v>
      </c>
      <c r="B111" s="10" t="s">
        <v>43</v>
      </c>
      <c r="C111" s="10">
        <v>0</v>
      </c>
      <c r="D111" s="10">
        <v>0</v>
      </c>
      <c r="E111" s="3"/>
      <c r="F111" s="3"/>
      <c r="G111" s="3"/>
      <c r="H111" s="3">
        <v>0</v>
      </c>
      <c r="I111" s="3"/>
      <c r="J111" s="64">
        <f t="shared" ref="J111" si="26">+I111/7*12</f>
        <v>0</v>
      </c>
      <c r="K111" s="64">
        <f>+J111-H111</f>
        <v>0</v>
      </c>
      <c r="L111" s="3"/>
      <c r="M111" s="3">
        <v>2500</v>
      </c>
      <c r="N111" s="3">
        <v>2500</v>
      </c>
      <c r="O111" s="3">
        <v>2500</v>
      </c>
      <c r="P111" s="3">
        <v>2500</v>
      </c>
      <c r="Q111" s="3"/>
      <c r="R111" s="46"/>
    </row>
    <row r="112" spans="1:18">
      <c r="A112" s="63"/>
      <c r="B112" s="9" t="s">
        <v>93</v>
      </c>
      <c r="C112" s="9">
        <f t="shared" ref="C112:K112" si="27">SUM(C109:C111)</f>
        <v>20412.5</v>
      </c>
      <c r="D112" s="9">
        <f t="shared" si="27"/>
        <v>19217.43</v>
      </c>
      <c r="E112" s="4">
        <f t="shared" si="27"/>
        <v>17112.43</v>
      </c>
      <c r="F112" s="4">
        <f t="shared" si="27"/>
        <v>11165.24</v>
      </c>
      <c r="G112" s="4">
        <f t="shared" si="27"/>
        <v>32983.46</v>
      </c>
      <c r="H112" s="4">
        <f t="shared" ref="H112" si="28">SUM(H109:H111)</f>
        <v>27363</v>
      </c>
      <c r="I112" s="4">
        <f t="shared" si="27"/>
        <v>19045.04</v>
      </c>
      <c r="J112" s="4">
        <f t="shared" si="27"/>
        <v>29313</v>
      </c>
      <c r="K112" s="4">
        <f t="shared" si="27"/>
        <v>1950</v>
      </c>
      <c r="L112" s="4">
        <f t="shared" ref="L112:P112" si="29">SUM(L109:L111)</f>
        <v>31204</v>
      </c>
      <c r="M112" s="4">
        <f t="shared" si="29"/>
        <v>25500</v>
      </c>
      <c r="N112" s="4">
        <f t="shared" si="29"/>
        <v>25500</v>
      </c>
      <c r="O112" s="4">
        <f t="shared" si="29"/>
        <v>25500</v>
      </c>
      <c r="P112" s="4">
        <f t="shared" si="29"/>
        <v>25500</v>
      </c>
      <c r="Q112" s="4">
        <f>+L112-H112</f>
        <v>3841</v>
      </c>
      <c r="R112" s="46"/>
    </row>
    <row r="113" spans="1:18">
      <c r="A113" s="63"/>
      <c r="B113" s="9"/>
      <c r="C113" s="9"/>
      <c r="D113" s="9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6"/>
    </row>
    <row r="114" spans="1:18">
      <c r="A114" s="63"/>
      <c r="B114" s="9" t="s">
        <v>38</v>
      </c>
      <c r="C114" s="9"/>
      <c r="D114" s="9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6"/>
    </row>
    <row r="115" spans="1:18">
      <c r="A115" s="63">
        <v>6010</v>
      </c>
      <c r="B115" s="10" t="s">
        <v>39</v>
      </c>
      <c r="C115" s="10">
        <v>5000.2700000000004</v>
      </c>
      <c r="D115" s="10">
        <v>8393.74</v>
      </c>
      <c r="E115" s="3">
        <v>50000</v>
      </c>
      <c r="F115" s="3">
        <v>32347.63</v>
      </c>
      <c r="G115" s="3">
        <v>39716.870000000003</v>
      </c>
      <c r="H115" s="3">
        <v>10000</v>
      </c>
      <c r="I115" s="3">
        <v>0</v>
      </c>
      <c r="J115" s="64">
        <v>10000</v>
      </c>
      <c r="K115" s="64">
        <f>+J115-H115</f>
        <v>0</v>
      </c>
      <c r="L115" s="3">
        <v>20000</v>
      </c>
      <c r="M115" s="4">
        <v>50001</v>
      </c>
      <c r="N115" s="4">
        <v>50002</v>
      </c>
      <c r="O115" s="4">
        <v>50003</v>
      </c>
      <c r="P115" s="4">
        <v>50004</v>
      </c>
      <c r="Q115" s="3"/>
      <c r="R115" s="46"/>
    </row>
    <row r="116" spans="1:18">
      <c r="A116" s="63"/>
      <c r="B116" s="9"/>
      <c r="C116" s="9"/>
      <c r="D116" s="9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6"/>
    </row>
    <row r="117" spans="1:18">
      <c r="A117" s="63"/>
      <c r="B117" s="9" t="s">
        <v>40</v>
      </c>
      <c r="C117" s="9">
        <f t="shared" ref="C117:K117" si="30">SUM(C115:C116)</f>
        <v>5000.2700000000004</v>
      </c>
      <c r="D117" s="9">
        <f t="shared" si="30"/>
        <v>8393.74</v>
      </c>
      <c r="E117" s="4">
        <f t="shared" si="30"/>
        <v>50000</v>
      </c>
      <c r="F117" s="4">
        <f t="shared" si="30"/>
        <v>32347.63</v>
      </c>
      <c r="G117" s="4">
        <f t="shared" si="30"/>
        <v>39716.870000000003</v>
      </c>
      <c r="H117" s="4">
        <f t="shared" ref="H117" si="31">SUM(H115:H116)</f>
        <v>10000</v>
      </c>
      <c r="I117" s="4">
        <f t="shared" si="30"/>
        <v>0</v>
      </c>
      <c r="J117" s="4">
        <f t="shared" si="30"/>
        <v>10000</v>
      </c>
      <c r="K117" s="4">
        <f t="shared" si="30"/>
        <v>0</v>
      </c>
      <c r="L117" s="4">
        <f t="shared" ref="L117:P117" si="32">SUM(L115:L116)</f>
        <v>20000</v>
      </c>
      <c r="M117" s="4">
        <f t="shared" si="32"/>
        <v>50001</v>
      </c>
      <c r="N117" s="4">
        <f t="shared" si="32"/>
        <v>50002</v>
      </c>
      <c r="O117" s="4">
        <f t="shared" si="32"/>
        <v>50003</v>
      </c>
      <c r="P117" s="4">
        <f t="shared" si="32"/>
        <v>50004</v>
      </c>
      <c r="Q117" s="4">
        <f>+L117-H117</f>
        <v>10000</v>
      </c>
      <c r="R117" s="46"/>
    </row>
    <row r="118" spans="1:18">
      <c r="A118" s="63"/>
      <c r="B118" s="9"/>
      <c r="C118" s="9"/>
      <c r="D118" s="9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46"/>
    </row>
    <row r="119" spans="1:18">
      <c r="A119" s="63"/>
      <c r="B119" s="9" t="s">
        <v>119</v>
      </c>
      <c r="C119" s="9"/>
      <c r="D119" s="9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46"/>
    </row>
    <row r="120" spans="1:18">
      <c r="A120" s="63">
        <v>7010</v>
      </c>
      <c r="B120" s="10" t="s">
        <v>45</v>
      </c>
      <c r="C120" s="10">
        <v>0</v>
      </c>
      <c r="D120" s="10">
        <v>2500</v>
      </c>
      <c r="E120" s="3">
        <v>2500</v>
      </c>
      <c r="F120" s="3">
        <v>0</v>
      </c>
      <c r="G120" s="3"/>
      <c r="H120" s="3">
        <v>10000</v>
      </c>
      <c r="I120" s="3">
        <v>0</v>
      </c>
      <c r="J120" s="64">
        <f t="shared" ref="J120:J121" si="33">+I120/7*12</f>
        <v>0</v>
      </c>
      <c r="K120" s="64">
        <f>+J120-H120</f>
        <v>-10000</v>
      </c>
      <c r="L120" s="3">
        <v>0</v>
      </c>
      <c r="M120" s="3">
        <f>30000-2350</f>
        <v>27650</v>
      </c>
      <c r="N120" s="3">
        <f>30000-2350</f>
        <v>27650</v>
      </c>
      <c r="O120" s="3">
        <f>30000-2350</f>
        <v>27650</v>
      </c>
      <c r="P120" s="3">
        <f>30000-2350</f>
        <v>27650</v>
      </c>
      <c r="Q120" s="3"/>
      <c r="R120" s="71"/>
    </row>
    <row r="121" spans="1:18">
      <c r="A121" s="63">
        <v>7020</v>
      </c>
      <c r="B121" s="10" t="s">
        <v>100</v>
      </c>
      <c r="C121" s="10">
        <v>209723.4</v>
      </c>
      <c r="D121" s="10">
        <v>51299</v>
      </c>
      <c r="E121" s="3">
        <v>206184</v>
      </c>
      <c r="F121" s="3">
        <v>239202</v>
      </c>
      <c r="G121" s="3">
        <v>263000</v>
      </c>
      <c r="H121" s="3">
        <v>262990</v>
      </c>
      <c r="I121" s="3">
        <v>153410.81</v>
      </c>
      <c r="J121" s="64">
        <f t="shared" si="33"/>
        <v>262989.95999999996</v>
      </c>
      <c r="K121" s="64">
        <f>+J121-H121</f>
        <v>-4.0000000037252903E-2</v>
      </c>
      <c r="L121" s="3">
        <v>275200</v>
      </c>
      <c r="M121" s="3">
        <v>206190.07999999999</v>
      </c>
      <c r="N121" s="3">
        <v>206190.07999999999</v>
      </c>
      <c r="O121" s="3">
        <v>206190.07999999999</v>
      </c>
      <c r="P121" s="3">
        <v>206190.07999999999</v>
      </c>
      <c r="Q121" s="3"/>
      <c r="R121" s="46" t="s">
        <v>86</v>
      </c>
    </row>
    <row r="122" spans="1:18">
      <c r="A122" s="63">
        <v>7021</v>
      </c>
      <c r="B122" s="10" t="s">
        <v>101</v>
      </c>
      <c r="C122" s="10">
        <v>629.55999999999995</v>
      </c>
      <c r="D122" s="10">
        <v>188.71</v>
      </c>
      <c r="E122" s="3">
        <v>308.19</v>
      </c>
      <c r="F122" s="3">
        <v>413.96</v>
      </c>
      <c r="G122" s="3">
        <v>346.8</v>
      </c>
      <c r="H122" s="3">
        <f>+H18</f>
        <v>500</v>
      </c>
      <c r="I122" s="3">
        <v>79.2</v>
      </c>
      <c r="J122" s="64">
        <v>135</v>
      </c>
      <c r="K122" s="64">
        <f>+J122-H122</f>
        <v>-365</v>
      </c>
      <c r="L122" s="3">
        <f>+L18</f>
        <v>350</v>
      </c>
      <c r="M122" s="3">
        <v>300</v>
      </c>
      <c r="N122" s="3">
        <v>300</v>
      </c>
      <c r="O122" s="3">
        <v>300</v>
      </c>
      <c r="P122" s="3">
        <v>300</v>
      </c>
      <c r="Q122" s="3"/>
      <c r="R122" s="46"/>
    </row>
    <row r="123" spans="1:18">
      <c r="A123" s="72"/>
      <c r="B123" s="9" t="s">
        <v>96</v>
      </c>
      <c r="C123" s="9">
        <f t="shared" ref="C123:L123" si="34">SUM(C120:C122)</f>
        <v>210352.96</v>
      </c>
      <c r="D123" s="9">
        <f t="shared" si="34"/>
        <v>53987.71</v>
      </c>
      <c r="E123" s="4">
        <f t="shared" si="34"/>
        <v>208992.19</v>
      </c>
      <c r="F123" s="4">
        <f t="shared" si="34"/>
        <v>239615.96</v>
      </c>
      <c r="G123" s="4">
        <f t="shared" si="34"/>
        <v>263346.8</v>
      </c>
      <c r="H123" s="4">
        <f t="shared" ref="H123" si="35">SUM(H120:H122)</f>
        <v>273490</v>
      </c>
      <c r="I123" s="4">
        <f t="shared" si="34"/>
        <v>153490.01</v>
      </c>
      <c r="J123" s="4">
        <f t="shared" si="34"/>
        <v>263124.95999999996</v>
      </c>
      <c r="K123" s="4">
        <f t="shared" si="34"/>
        <v>-10365.040000000037</v>
      </c>
      <c r="L123" s="4">
        <f t="shared" si="34"/>
        <v>275550</v>
      </c>
      <c r="M123" s="4">
        <f t="shared" ref="M123:P123" si="36">SUM(M120:M122)</f>
        <v>234140.08</v>
      </c>
      <c r="N123" s="4">
        <f t="shared" si="36"/>
        <v>234140.08</v>
      </c>
      <c r="O123" s="4">
        <f t="shared" si="36"/>
        <v>234140.08</v>
      </c>
      <c r="P123" s="4">
        <f t="shared" si="36"/>
        <v>234140.08</v>
      </c>
      <c r="Q123" s="4">
        <f>+L123-H123</f>
        <v>2060</v>
      </c>
      <c r="R123" s="46"/>
    </row>
    <row r="124" spans="1:18">
      <c r="A124" s="72"/>
      <c r="B124" s="10"/>
      <c r="C124" s="10"/>
      <c r="D124" s="10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46"/>
    </row>
    <row r="125" spans="1:18">
      <c r="A125" s="72"/>
      <c r="B125" s="9" t="s">
        <v>97</v>
      </c>
      <c r="C125" s="9">
        <f>SUM(C57,C83,C88,C98,C106,C112,C117,C123,)</f>
        <v>765561.03999999992</v>
      </c>
      <c r="D125" s="9">
        <f>SUM(D57,D83,D88,D98,D106,D112,D117,D123,)</f>
        <v>617795.79</v>
      </c>
      <c r="E125" s="4">
        <f>SUM(E57,E83,E88,E98,E106,E112,E117,E123,)</f>
        <v>728666.87</v>
      </c>
      <c r="F125" s="4">
        <f>SUM(F57,F83,F88,F98,F106,F112,F117,F123,)</f>
        <v>746107.63</v>
      </c>
      <c r="G125" s="4">
        <f>SUM(G57,G83,G88,G98,G106,G112,G117,G123,)</f>
        <v>823526.87999999989</v>
      </c>
      <c r="H125" s="4">
        <f t="shared" ref="H125" si="37">SUM(H57,H83,H88,H98,H112,H117,H123,H106)</f>
        <v>828622</v>
      </c>
      <c r="I125" s="4">
        <f>SUM(I57,I83,I88,I98,I106,I112,I117,I123)</f>
        <v>438091.82</v>
      </c>
      <c r="J125" s="4">
        <f>SUM(J57,J83, J88, J98,J106,J112, J117,J123)</f>
        <v>816499.96</v>
      </c>
      <c r="K125" s="4">
        <f>K123+K117+K112+K106+K98+K88+K83+K57</f>
        <v>-20224.380000000037</v>
      </c>
      <c r="L125" s="4">
        <f t="shared" ref="L125:P125" si="38">SUM(L57,L83,L88,L98,L112,L117,L123,L106)</f>
        <v>885427</v>
      </c>
      <c r="M125" s="4">
        <f t="shared" si="38"/>
        <v>781764.66</v>
      </c>
      <c r="N125" s="4">
        <f t="shared" si="38"/>
        <v>826735.08</v>
      </c>
      <c r="O125" s="4">
        <f t="shared" si="38"/>
        <v>728240.08</v>
      </c>
      <c r="P125" s="4">
        <f t="shared" si="38"/>
        <v>864272.08</v>
      </c>
      <c r="Q125" s="4">
        <f>+L125-H125</f>
        <v>56805</v>
      </c>
      <c r="R125" s="46"/>
    </row>
    <row r="126" spans="1:18" ht="16" thickBot="1">
      <c r="A126" s="72"/>
      <c r="B126" s="73"/>
      <c r="C126" s="73"/>
      <c r="D126" s="73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46"/>
    </row>
    <row r="127" spans="1:18" ht="19.5" customHeight="1">
      <c r="A127" s="75"/>
      <c r="B127" s="76" t="s">
        <v>89</v>
      </c>
      <c r="C127" s="77">
        <f t="shared" ref="C127:J127" si="39">+C21</f>
        <v>733244.17</v>
      </c>
      <c r="D127" s="77">
        <f t="shared" si="39"/>
        <v>779774.12999999989</v>
      </c>
      <c r="E127" s="78">
        <f t="shared" si="39"/>
        <v>820199.56</v>
      </c>
      <c r="F127" s="78">
        <f t="shared" si="39"/>
        <v>826414.75</v>
      </c>
      <c r="G127" s="78">
        <f t="shared" ref="G127" si="40">+G21</f>
        <v>805837.14999999991</v>
      </c>
      <c r="H127" s="79">
        <f>+H21</f>
        <v>828622</v>
      </c>
      <c r="I127" s="78">
        <f t="shared" si="39"/>
        <v>508331.91000000003</v>
      </c>
      <c r="J127" s="78">
        <f t="shared" si="39"/>
        <v>858528.42857142864</v>
      </c>
      <c r="K127" s="78">
        <f>K21</f>
        <v>29906.428571428638</v>
      </c>
      <c r="L127" s="79">
        <f>+L21</f>
        <v>885427</v>
      </c>
      <c r="M127" s="79">
        <f>+M21</f>
        <v>413188.94680000003</v>
      </c>
      <c r="N127" s="79">
        <f>+N21</f>
        <v>159028.94680000001</v>
      </c>
      <c r="O127" s="79">
        <f>+O21</f>
        <v>281428.94680000003</v>
      </c>
      <c r="P127" s="79">
        <f>+P21</f>
        <v>159028.94680000001</v>
      </c>
      <c r="Q127" s="79"/>
      <c r="R127" s="46"/>
    </row>
    <row r="128" spans="1:18" ht="18.75" customHeight="1">
      <c r="A128" s="75"/>
      <c r="B128" s="80" t="s">
        <v>97</v>
      </c>
      <c r="C128" s="9">
        <f>C125</f>
        <v>765561.03999999992</v>
      </c>
      <c r="D128" s="9">
        <f>D125</f>
        <v>617795.79</v>
      </c>
      <c r="E128" s="4">
        <f>E125</f>
        <v>728666.87</v>
      </c>
      <c r="F128" s="4">
        <f>F125</f>
        <v>746107.63</v>
      </c>
      <c r="G128" s="4">
        <f>G125</f>
        <v>823526.87999999989</v>
      </c>
      <c r="H128" s="81">
        <f>+H57+H83+H88+H98+H106+H117+H123+H112</f>
        <v>828622</v>
      </c>
      <c r="I128" s="4">
        <f>+I57+I83+I88+I98+I106+I112+I117+I123</f>
        <v>438091.82</v>
      </c>
      <c r="J128" s="4">
        <f>+J57+J83+J88+J98+J106+J112+J117+J123</f>
        <v>816499.96</v>
      </c>
      <c r="K128" s="4">
        <f>K125</f>
        <v>-20224.380000000037</v>
      </c>
      <c r="L128" s="81">
        <f>+L57+L83+L88+L98+L106+L117+L123+L112</f>
        <v>885427</v>
      </c>
      <c r="M128" s="81">
        <f>+M57+M83+M88+M98+M106+M112+M117+M123</f>
        <v>781764.66</v>
      </c>
      <c r="N128" s="81">
        <f>+N57+N83+N88+N98+N106+N112+N117+N123</f>
        <v>826735.08</v>
      </c>
      <c r="O128" s="81">
        <f>+O57+O83+O88+O98+O106+O112+O117+O123</f>
        <v>728240.08</v>
      </c>
      <c r="P128" s="81">
        <f>+P57+P83+P88+P98+P106+P112+P117+P123</f>
        <v>864272.08</v>
      </c>
      <c r="Q128" s="81"/>
      <c r="R128" s="46"/>
    </row>
    <row r="129" spans="1:18" ht="19.5" customHeight="1" thickBot="1">
      <c r="A129" s="75"/>
      <c r="B129" s="82" t="s">
        <v>98</v>
      </c>
      <c r="C129" s="83">
        <f>+C127-C128</f>
        <v>-32316.869999999879</v>
      </c>
      <c r="D129" s="83">
        <f>+D127-D128</f>
        <v>161978.33999999985</v>
      </c>
      <c r="E129" s="84">
        <f>+E127-E128</f>
        <v>91532.690000000061</v>
      </c>
      <c r="F129" s="84">
        <f>+F127-F128</f>
        <v>80307.12</v>
      </c>
      <c r="G129" s="84">
        <f>+G127-G128</f>
        <v>-17689.729999999981</v>
      </c>
      <c r="H129" s="85">
        <f t="shared" ref="H129" si="41">H127-H128</f>
        <v>0</v>
      </c>
      <c r="I129" s="84">
        <f>+I127-I128</f>
        <v>70240.090000000026</v>
      </c>
      <c r="J129" s="84">
        <f t="shared" ref="J129:P129" si="42">J127-J128</f>
        <v>42028.468571428675</v>
      </c>
      <c r="K129" s="84">
        <f t="shared" si="42"/>
        <v>50130.808571428672</v>
      </c>
      <c r="L129" s="85">
        <f t="shared" si="42"/>
        <v>0</v>
      </c>
      <c r="M129" s="85">
        <f t="shared" si="42"/>
        <v>-368575.7132</v>
      </c>
      <c r="N129" s="85">
        <f t="shared" si="42"/>
        <v>-667706.13319999992</v>
      </c>
      <c r="O129" s="85">
        <f t="shared" si="42"/>
        <v>-446811.13319999992</v>
      </c>
      <c r="P129" s="85">
        <f t="shared" si="42"/>
        <v>-705243.13319999992</v>
      </c>
      <c r="Q129" s="85"/>
      <c r="R129" s="46"/>
    </row>
    <row r="130" spans="1:18" ht="16" thickBot="1">
      <c r="A130" s="86"/>
      <c r="B130" s="87"/>
      <c r="C130" s="87"/>
      <c r="D130" s="87"/>
      <c r="E130" s="88"/>
      <c r="F130" s="88"/>
      <c r="G130" s="88"/>
      <c r="H130" s="88"/>
      <c r="I130" s="88"/>
      <c r="J130" s="88"/>
      <c r="K130" s="88"/>
      <c r="L130" s="88"/>
      <c r="M130" s="65"/>
      <c r="Q130" s="46"/>
      <c r="R130" s="46"/>
    </row>
    <row r="131" spans="1:18">
      <c r="A131" s="89"/>
      <c r="B131" s="90" t="s">
        <v>55</v>
      </c>
      <c r="C131" s="91" t="s">
        <v>56</v>
      </c>
      <c r="D131" s="91">
        <v>2016</v>
      </c>
      <c r="E131" s="91" t="s">
        <v>160</v>
      </c>
      <c r="F131" s="92" t="s">
        <v>61</v>
      </c>
      <c r="G131" s="93" t="s">
        <v>59</v>
      </c>
      <c r="H131" s="94" t="s">
        <v>57</v>
      </c>
      <c r="M131" s="95"/>
      <c r="Q131" s="46"/>
      <c r="R131" s="46"/>
    </row>
    <row r="132" spans="1:18">
      <c r="A132" s="96"/>
      <c r="B132" s="97" t="s">
        <v>52</v>
      </c>
      <c r="C132" s="98" t="s">
        <v>133</v>
      </c>
      <c r="D132" s="99">
        <v>46500</v>
      </c>
      <c r="E132" s="99">
        <f>D132*1.05</f>
        <v>48825</v>
      </c>
      <c r="F132" s="100"/>
      <c r="G132" s="101"/>
      <c r="H132" s="102"/>
      <c r="I132" s="96"/>
      <c r="J132" s="103"/>
      <c r="K132" s="104"/>
      <c r="L132" s="104"/>
      <c r="M132" s="105"/>
      <c r="N132" s="104"/>
      <c r="O132" s="103"/>
      <c r="P132" s="104"/>
      <c r="Q132" s="104"/>
    </row>
    <row r="133" spans="1:18">
      <c r="A133" s="96"/>
      <c r="B133" s="97" t="s">
        <v>53</v>
      </c>
      <c r="C133" s="98" t="s">
        <v>133</v>
      </c>
      <c r="D133" s="99">
        <v>51000</v>
      </c>
      <c r="E133" s="99">
        <v>52000</v>
      </c>
      <c r="F133" s="100"/>
      <c r="G133" s="101"/>
      <c r="H133" s="102"/>
      <c r="I133" s="96"/>
      <c r="J133" s="103"/>
      <c r="K133" s="104"/>
      <c r="L133" s="104"/>
      <c r="M133" s="105"/>
      <c r="N133" s="104"/>
      <c r="O133" s="103"/>
      <c r="P133" s="104"/>
      <c r="Q133" s="104"/>
    </row>
    <row r="134" spans="1:18">
      <c r="A134" s="106"/>
      <c r="B134" s="97" t="s">
        <v>162</v>
      </c>
      <c r="C134" s="98" t="s">
        <v>51</v>
      </c>
      <c r="D134" s="99">
        <v>4175</v>
      </c>
      <c r="E134" s="99">
        <v>7200</v>
      </c>
      <c r="F134" s="100">
        <v>15</v>
      </c>
      <c r="G134" s="101">
        <v>30</v>
      </c>
      <c r="H134" s="102" t="s">
        <v>58</v>
      </c>
      <c r="I134" s="107"/>
      <c r="J134" s="104"/>
      <c r="K134" s="104"/>
      <c r="L134" s="104"/>
      <c r="M134" s="105"/>
      <c r="N134" s="104"/>
      <c r="O134" s="103"/>
      <c r="P134" s="104"/>
      <c r="Q134" s="104"/>
    </row>
    <row r="135" spans="1:18">
      <c r="A135" s="106"/>
      <c r="B135" s="97" t="s">
        <v>163</v>
      </c>
      <c r="C135" s="98" t="s">
        <v>51</v>
      </c>
      <c r="D135" s="98"/>
      <c r="E135" s="99">
        <v>10000</v>
      </c>
      <c r="F135" s="127">
        <v>15.5</v>
      </c>
      <c r="G135" s="101"/>
      <c r="H135" s="102"/>
      <c r="I135" s="107"/>
      <c r="J135" s="104"/>
      <c r="K135" s="104"/>
      <c r="L135" s="104"/>
      <c r="M135" s="105"/>
      <c r="N135" s="104"/>
      <c r="O135" s="103"/>
      <c r="P135" s="104"/>
      <c r="Q135" s="104"/>
    </row>
    <row r="136" spans="1:18">
      <c r="A136" s="106"/>
      <c r="B136" s="97" t="s">
        <v>164</v>
      </c>
      <c r="C136" s="98" t="s">
        <v>51</v>
      </c>
      <c r="D136" s="98"/>
      <c r="E136" s="99">
        <v>10000</v>
      </c>
      <c r="F136" s="127"/>
      <c r="G136" s="101"/>
      <c r="H136" s="102"/>
      <c r="I136" s="104"/>
      <c r="J136" s="104"/>
      <c r="K136" s="104"/>
      <c r="L136" s="104"/>
      <c r="M136" s="105"/>
      <c r="N136" s="104"/>
      <c r="O136" s="103"/>
      <c r="P136" s="104"/>
      <c r="Q136" s="104"/>
    </row>
    <row r="137" spans="1:18">
      <c r="A137" s="106"/>
      <c r="B137" s="97" t="s">
        <v>131</v>
      </c>
      <c r="C137" s="98" t="s">
        <v>51</v>
      </c>
      <c r="D137" s="98"/>
      <c r="E137" s="99">
        <v>10000</v>
      </c>
      <c r="F137" s="127"/>
      <c r="G137" s="101">
        <v>40</v>
      </c>
      <c r="H137" s="102" t="s">
        <v>58</v>
      </c>
      <c r="I137" s="104"/>
      <c r="J137" s="104"/>
      <c r="K137" s="104"/>
      <c r="L137" s="104"/>
      <c r="M137" s="105"/>
      <c r="N137" s="104"/>
      <c r="O137" s="103"/>
      <c r="P137" s="104"/>
      <c r="Q137" s="104"/>
    </row>
    <row r="138" spans="1:18">
      <c r="A138" s="106"/>
      <c r="B138" s="97" t="s">
        <v>132</v>
      </c>
      <c r="C138" s="98" t="s">
        <v>51</v>
      </c>
      <c r="D138" s="98"/>
      <c r="E138" s="99">
        <v>7410</v>
      </c>
      <c r="F138" s="100">
        <v>13</v>
      </c>
      <c r="G138" s="101">
        <v>20</v>
      </c>
      <c r="H138" s="102" t="s">
        <v>60</v>
      </c>
      <c r="I138" s="104"/>
      <c r="J138" s="104"/>
      <c r="K138" s="104"/>
      <c r="L138" s="104"/>
      <c r="M138" s="104"/>
      <c r="N138" s="104"/>
      <c r="O138" s="103"/>
      <c r="P138" s="104"/>
      <c r="Q138" s="104"/>
    </row>
    <row r="139" spans="1:18" ht="16" thickBot="1">
      <c r="A139" s="106"/>
      <c r="B139" s="108" t="s">
        <v>50</v>
      </c>
      <c r="C139" s="109"/>
      <c r="D139" s="109"/>
      <c r="E139" s="109"/>
      <c r="F139" s="109"/>
      <c r="G139" s="109"/>
      <c r="H139" s="110"/>
      <c r="I139" s="104"/>
      <c r="J139" s="104"/>
      <c r="K139" s="104"/>
      <c r="L139" s="104"/>
      <c r="M139" s="104"/>
      <c r="N139" s="104"/>
      <c r="O139" s="103"/>
      <c r="P139" s="104"/>
      <c r="Q139" s="104"/>
    </row>
    <row r="140" spans="1:18" ht="16" thickBot="1">
      <c r="A140" s="106"/>
      <c r="B140" s="98"/>
      <c r="C140" s="98"/>
      <c r="D140" s="98"/>
      <c r="E140" s="99"/>
      <c r="F140" s="98"/>
      <c r="G140" s="111"/>
      <c r="H140" s="111"/>
      <c r="I140" s="104"/>
      <c r="J140" s="104"/>
      <c r="K140" s="104"/>
      <c r="L140" s="104"/>
      <c r="M140" s="104"/>
      <c r="N140" s="104"/>
      <c r="O140" s="103"/>
      <c r="P140" s="104"/>
      <c r="Q140" s="104"/>
    </row>
    <row r="141" spans="1:18">
      <c r="A141" s="106"/>
      <c r="B141" s="90" t="s">
        <v>134</v>
      </c>
      <c r="C141" s="112">
        <f>E133+E138</f>
        <v>59410</v>
      </c>
      <c r="D141" s="111"/>
      <c r="E141" s="111"/>
      <c r="F141" s="111"/>
      <c r="G141" s="111"/>
      <c r="H141" s="111"/>
      <c r="I141" s="104"/>
      <c r="J141" s="104"/>
      <c r="K141" s="104"/>
      <c r="L141" s="104"/>
      <c r="M141" s="104"/>
      <c r="N141" s="104"/>
      <c r="O141" s="103"/>
      <c r="P141" s="104"/>
      <c r="Q141" s="104"/>
    </row>
    <row r="142" spans="1:18">
      <c r="A142" s="106"/>
      <c r="B142" s="97" t="s">
        <v>135</v>
      </c>
      <c r="C142" s="113">
        <f>E132+E134+E135+E136+E137</f>
        <v>86025</v>
      </c>
      <c r="D142" s="111"/>
      <c r="E142" s="111"/>
      <c r="F142" s="111"/>
      <c r="G142" s="111"/>
      <c r="H142" s="111"/>
      <c r="I142" s="104"/>
      <c r="J142" s="104"/>
      <c r="K142" s="104"/>
      <c r="L142" s="104"/>
      <c r="M142" s="104"/>
      <c r="N142" s="104"/>
      <c r="O142" s="103"/>
      <c r="P142" s="104"/>
      <c r="Q142" s="104"/>
    </row>
    <row r="143" spans="1:18" ht="16" thickBot="1">
      <c r="A143" s="106"/>
      <c r="B143" s="114" t="s">
        <v>54</v>
      </c>
      <c r="C143" s="115">
        <v>6500</v>
      </c>
      <c r="D143" s="111"/>
      <c r="E143" s="111"/>
      <c r="F143" s="111"/>
      <c r="G143" s="111"/>
      <c r="H143" s="111"/>
      <c r="I143" s="104"/>
      <c r="J143" s="104"/>
      <c r="K143" s="104"/>
      <c r="L143" s="104"/>
      <c r="M143" s="104"/>
      <c r="N143" s="104"/>
      <c r="O143" s="103"/>
      <c r="P143" s="104"/>
      <c r="Q143" s="104"/>
    </row>
    <row r="144" spans="1:18">
      <c r="A144" s="106"/>
      <c r="B144" s="96"/>
      <c r="C144" s="44"/>
      <c r="D144" s="44"/>
      <c r="E144" s="103"/>
      <c r="F144" s="103"/>
      <c r="G144" s="103"/>
      <c r="H144" s="103"/>
      <c r="I144" s="104"/>
      <c r="J144" s="104"/>
      <c r="K144" s="104"/>
      <c r="L144" s="104"/>
      <c r="M144" s="104"/>
      <c r="N144" s="104"/>
      <c r="O144" s="103"/>
      <c r="P144" s="104"/>
      <c r="Q144" s="104"/>
    </row>
    <row r="145" spans="1:17">
      <c r="A145" s="106"/>
      <c r="B145" s="96"/>
      <c r="C145" s="44"/>
      <c r="D145" s="44"/>
      <c r="E145" s="103"/>
      <c r="F145" s="103"/>
      <c r="G145" s="103"/>
      <c r="H145" s="103"/>
      <c r="I145" s="104"/>
      <c r="J145" s="104"/>
      <c r="K145" s="104"/>
      <c r="L145" s="104"/>
      <c r="M145" s="104"/>
      <c r="N145" s="104"/>
      <c r="O145" s="103"/>
      <c r="P145" s="104"/>
      <c r="Q145" s="104"/>
    </row>
    <row r="146" spans="1:17">
      <c r="A146" s="106"/>
      <c r="B146" s="96"/>
      <c r="C146" s="44"/>
      <c r="D146" s="44"/>
      <c r="E146" s="103"/>
      <c r="F146" s="103"/>
      <c r="G146" s="103"/>
      <c r="H146" s="103"/>
      <c r="I146" s="104"/>
      <c r="J146" s="104"/>
      <c r="K146" s="104"/>
      <c r="L146" s="104"/>
      <c r="M146" s="104"/>
      <c r="N146" s="104"/>
      <c r="O146" s="103"/>
      <c r="P146" s="104"/>
      <c r="Q146" s="104"/>
    </row>
    <row r="147" spans="1:17">
      <c r="A147" s="106"/>
      <c r="B147" s="116"/>
      <c r="C147" s="44"/>
      <c r="D147" s="44"/>
      <c r="E147" s="117"/>
      <c r="F147" s="117"/>
      <c r="G147" s="117"/>
      <c r="H147" s="117"/>
      <c r="I147" s="104"/>
      <c r="J147" s="104"/>
      <c r="K147" s="104"/>
      <c r="L147" s="104"/>
      <c r="M147" s="104"/>
      <c r="N147" s="104"/>
      <c r="O147" s="103"/>
      <c r="P147" s="104"/>
      <c r="Q147" s="104"/>
    </row>
    <row r="148" spans="1:17">
      <c r="A148" s="106"/>
      <c r="B148" s="116"/>
      <c r="C148" s="117"/>
      <c r="D148" s="117"/>
      <c r="E148" s="103"/>
      <c r="F148" s="103"/>
      <c r="G148" s="103"/>
      <c r="H148" s="103"/>
      <c r="I148" s="104"/>
      <c r="J148" s="104"/>
      <c r="K148" s="104"/>
      <c r="L148" s="104"/>
      <c r="M148" s="104"/>
      <c r="N148" s="104"/>
      <c r="O148" s="103"/>
      <c r="P148" s="104"/>
      <c r="Q148" s="104"/>
    </row>
    <row r="149" spans="1:17">
      <c r="A149" s="106"/>
      <c r="B149" s="96"/>
      <c r="C149" s="44"/>
      <c r="D149" s="44"/>
      <c r="E149" s="103"/>
      <c r="F149" s="103"/>
      <c r="G149" s="103"/>
      <c r="H149" s="103"/>
      <c r="I149" s="104"/>
      <c r="J149" s="104"/>
      <c r="K149" s="104"/>
      <c r="L149" s="104"/>
      <c r="M149" s="104"/>
      <c r="N149" s="104"/>
      <c r="O149" s="103"/>
      <c r="P149" s="104"/>
      <c r="Q149" s="104"/>
    </row>
    <row r="150" spans="1:17">
      <c r="A150" s="106"/>
      <c r="B150" s="96"/>
      <c r="C150" s="103"/>
      <c r="D150" s="103"/>
      <c r="E150" s="103"/>
      <c r="F150" s="103"/>
      <c r="G150" s="103"/>
      <c r="H150" s="103"/>
      <c r="I150" s="104"/>
      <c r="J150" s="104"/>
      <c r="K150" s="104"/>
      <c r="L150" s="104"/>
      <c r="M150" s="104"/>
      <c r="N150" s="104"/>
      <c r="O150" s="103"/>
      <c r="P150" s="104"/>
      <c r="Q150" s="104"/>
    </row>
    <row r="151" spans="1:17">
      <c r="A151" s="106"/>
      <c r="B151" s="96"/>
      <c r="C151" s="103"/>
      <c r="D151" s="103"/>
      <c r="E151" s="103"/>
      <c r="F151" s="103"/>
      <c r="G151" s="103"/>
      <c r="H151" s="103"/>
      <c r="I151" s="104"/>
      <c r="J151" s="104"/>
      <c r="K151" s="104"/>
      <c r="L151" s="104"/>
      <c r="M151" s="104"/>
      <c r="N151" s="104"/>
      <c r="O151" s="103"/>
      <c r="P151" s="104"/>
      <c r="Q151" s="104"/>
    </row>
    <row r="152" spans="1:17">
      <c r="A152" s="106"/>
      <c r="B152" s="103"/>
      <c r="C152" s="103"/>
      <c r="D152" s="103"/>
      <c r="E152" s="103"/>
      <c r="F152" s="103"/>
      <c r="G152" s="103"/>
      <c r="H152" s="103"/>
      <c r="I152" s="104"/>
      <c r="J152" s="104"/>
      <c r="K152" s="104"/>
      <c r="L152" s="104"/>
      <c r="M152" s="104"/>
      <c r="N152" s="104"/>
      <c r="O152" s="103"/>
      <c r="P152" s="104"/>
      <c r="Q152" s="104"/>
    </row>
    <row r="153" spans="1:17">
      <c r="A153" s="106"/>
      <c r="B153" s="117"/>
      <c r="C153" s="117"/>
      <c r="D153" s="117"/>
      <c r="E153" s="117"/>
      <c r="F153" s="117"/>
      <c r="G153" s="117"/>
      <c r="H153" s="117"/>
      <c r="I153" s="104"/>
      <c r="J153" s="104"/>
      <c r="K153" s="104"/>
      <c r="L153" s="104"/>
      <c r="M153" s="104"/>
      <c r="N153" s="104"/>
      <c r="O153" s="103"/>
      <c r="P153" s="104"/>
      <c r="Q153" s="104"/>
    </row>
    <row r="154" spans="1:17">
      <c r="A154" s="106"/>
      <c r="B154" s="103"/>
      <c r="C154" s="103"/>
      <c r="D154" s="103"/>
      <c r="E154" s="103"/>
      <c r="F154" s="103"/>
      <c r="G154" s="103"/>
      <c r="H154" s="103"/>
      <c r="I154" s="104"/>
      <c r="J154" s="104"/>
      <c r="K154" s="104"/>
      <c r="L154" s="104"/>
      <c r="M154" s="104"/>
      <c r="N154" s="104"/>
      <c r="O154" s="103"/>
      <c r="P154" s="104"/>
      <c r="Q154" s="104"/>
    </row>
    <row r="155" spans="1:17">
      <c r="A155" s="106"/>
      <c r="B155" s="103"/>
      <c r="C155" s="103"/>
      <c r="D155" s="103"/>
      <c r="E155" s="103"/>
      <c r="F155" s="103"/>
      <c r="G155" s="103"/>
      <c r="H155" s="103"/>
      <c r="I155" s="104"/>
      <c r="J155" s="104"/>
      <c r="K155" s="104"/>
      <c r="L155" s="104"/>
      <c r="M155" s="104"/>
      <c r="N155" s="104"/>
      <c r="O155" s="103"/>
      <c r="P155" s="104"/>
      <c r="Q155" s="104"/>
    </row>
    <row r="156" spans="1:17">
      <c r="A156" s="106"/>
      <c r="B156" s="103"/>
      <c r="C156" s="103"/>
      <c r="D156" s="103"/>
      <c r="E156" s="103"/>
      <c r="F156" s="103"/>
      <c r="G156" s="103"/>
      <c r="H156" s="103"/>
      <c r="I156" s="104"/>
      <c r="J156" s="104"/>
      <c r="K156" s="104"/>
      <c r="L156" s="104"/>
      <c r="M156" s="104"/>
      <c r="N156" s="104"/>
      <c r="O156" s="103"/>
      <c r="P156" s="104"/>
      <c r="Q156" s="104"/>
    </row>
    <row r="157" spans="1:17">
      <c r="A157" s="106"/>
      <c r="B157" s="103"/>
      <c r="C157" s="103"/>
      <c r="D157" s="103"/>
      <c r="E157" s="103"/>
      <c r="F157" s="103"/>
      <c r="G157" s="103"/>
      <c r="H157" s="103"/>
      <c r="I157" s="104"/>
      <c r="J157" s="104"/>
      <c r="K157" s="104"/>
      <c r="L157" s="104"/>
      <c r="M157" s="104"/>
      <c r="N157" s="104"/>
      <c r="O157" s="103"/>
      <c r="P157" s="104"/>
      <c r="Q157" s="104"/>
    </row>
    <row r="158" spans="1:17">
      <c r="A158" s="106"/>
      <c r="B158" s="103"/>
      <c r="C158" s="103"/>
      <c r="D158" s="103"/>
      <c r="E158" s="103"/>
      <c r="F158" s="103"/>
      <c r="G158" s="103"/>
      <c r="H158" s="103"/>
      <c r="I158" s="104"/>
      <c r="J158" s="104"/>
      <c r="K158" s="104"/>
      <c r="L158" s="104"/>
      <c r="M158" s="104"/>
      <c r="N158" s="104"/>
      <c r="O158" s="103"/>
      <c r="P158" s="104"/>
      <c r="Q158" s="104"/>
    </row>
    <row r="159" spans="1:17">
      <c r="A159" s="118"/>
      <c r="B159" s="117"/>
      <c r="C159" s="117"/>
      <c r="D159" s="117"/>
      <c r="E159" s="117"/>
      <c r="F159" s="117"/>
      <c r="G159" s="117"/>
      <c r="H159" s="117"/>
      <c r="I159" s="104"/>
      <c r="J159" s="104"/>
      <c r="K159" s="104"/>
      <c r="L159" s="104"/>
      <c r="M159" s="104"/>
      <c r="N159" s="104"/>
      <c r="O159" s="103"/>
      <c r="P159" s="104"/>
      <c r="Q159" s="104"/>
    </row>
    <row r="160" spans="1:17">
      <c r="A160" s="118"/>
      <c r="B160" s="103"/>
      <c r="C160" s="103"/>
      <c r="D160" s="103"/>
      <c r="E160" s="103"/>
      <c r="F160" s="103"/>
      <c r="G160" s="103"/>
      <c r="H160" s="103"/>
      <c r="I160" s="104"/>
      <c r="J160" s="104"/>
      <c r="K160" s="104"/>
      <c r="L160" s="104"/>
      <c r="M160" s="104"/>
      <c r="N160" s="104"/>
      <c r="O160" s="103"/>
      <c r="P160" s="104"/>
      <c r="Q160" s="104"/>
    </row>
    <row r="161" spans="1:17">
      <c r="A161" s="118"/>
      <c r="B161" s="117"/>
      <c r="C161" s="117"/>
      <c r="D161" s="117"/>
      <c r="E161" s="117"/>
      <c r="F161" s="117"/>
      <c r="G161" s="117"/>
      <c r="H161" s="117"/>
      <c r="I161" s="104"/>
      <c r="J161" s="104"/>
      <c r="K161" s="104"/>
      <c r="L161" s="104"/>
      <c r="M161" s="104"/>
      <c r="N161" s="104"/>
      <c r="O161" s="103"/>
      <c r="P161" s="104"/>
      <c r="Q161" s="104"/>
    </row>
    <row r="162" spans="1:17" ht="16" thickBot="1">
      <c r="A162" s="118"/>
      <c r="B162" s="103"/>
      <c r="C162" s="103"/>
      <c r="D162" s="103"/>
      <c r="E162" s="103"/>
      <c r="F162" s="103"/>
      <c r="G162" s="103"/>
      <c r="H162" s="103"/>
      <c r="I162" s="104"/>
      <c r="J162" s="104"/>
      <c r="K162" s="104"/>
      <c r="L162" s="104"/>
      <c r="M162" s="104"/>
      <c r="N162" s="104"/>
      <c r="O162" s="103"/>
      <c r="P162" s="104"/>
      <c r="Q162" s="104"/>
    </row>
    <row r="163" spans="1:17" ht="16" thickTop="1">
      <c r="A163" s="118"/>
      <c r="B163" s="119"/>
      <c r="C163" s="119"/>
      <c r="D163" s="119"/>
      <c r="E163" s="120"/>
      <c r="F163" s="121"/>
      <c r="G163" s="121"/>
      <c r="H163" s="121"/>
      <c r="I163" s="104"/>
      <c r="J163" s="104"/>
      <c r="K163" s="104"/>
      <c r="L163" s="104"/>
      <c r="M163" s="104"/>
      <c r="N163" s="104"/>
      <c r="O163" s="103"/>
      <c r="P163" s="104"/>
      <c r="Q163" s="104"/>
    </row>
    <row r="164" spans="1:17">
      <c r="A164" s="118"/>
      <c r="B164" s="119"/>
      <c r="C164" s="119"/>
      <c r="D164" s="119"/>
      <c r="E164" s="122"/>
      <c r="F164" s="121"/>
      <c r="G164" s="121"/>
      <c r="H164" s="121"/>
      <c r="I164" s="104"/>
      <c r="J164" s="104"/>
      <c r="K164" s="104"/>
      <c r="L164" s="104"/>
      <c r="M164" s="104"/>
      <c r="N164" s="104"/>
      <c r="O164" s="103"/>
      <c r="P164" s="104"/>
      <c r="Q164" s="104"/>
    </row>
    <row r="165" spans="1:17" ht="16" thickBot="1">
      <c r="A165" s="118"/>
      <c r="B165" s="119"/>
      <c r="C165" s="119"/>
      <c r="D165" s="119"/>
      <c r="E165" s="123"/>
      <c r="F165" s="121"/>
      <c r="G165" s="121"/>
      <c r="H165" s="121"/>
      <c r="I165" s="104"/>
      <c r="J165" s="104"/>
      <c r="K165" s="104"/>
      <c r="L165" s="104"/>
      <c r="M165" s="104"/>
      <c r="N165" s="104"/>
      <c r="O165" s="103"/>
      <c r="P165" s="104"/>
      <c r="Q165" s="104"/>
    </row>
    <row r="166" spans="1:17" ht="16" thickTop="1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3"/>
      <c r="P166" s="104"/>
      <c r="Q166" s="104"/>
    </row>
    <row r="167" spans="1:17">
      <c r="A167" s="119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3"/>
      <c r="P167" s="104"/>
      <c r="Q167" s="104"/>
    </row>
    <row r="168" spans="1:17">
      <c r="A168" s="119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3"/>
      <c r="P168" s="104"/>
      <c r="Q168" s="104"/>
    </row>
    <row r="169" spans="1:17">
      <c r="A169" s="119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3"/>
      <c r="P169" s="104"/>
      <c r="Q169" s="104"/>
    </row>
    <row r="170" spans="1:17">
      <c r="A170" s="119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3"/>
      <c r="P170" s="104"/>
      <c r="Q170" s="104"/>
    </row>
    <row r="171" spans="1:17">
      <c r="A171" s="119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3"/>
      <c r="P171" s="104"/>
      <c r="Q171" s="104"/>
    </row>
    <row r="172" spans="1:17">
      <c r="A172" s="119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3"/>
      <c r="P172" s="104"/>
      <c r="Q172" s="104"/>
    </row>
    <row r="173" spans="1:17">
      <c r="A173" s="119"/>
    </row>
    <row r="174" spans="1:17">
      <c r="A174" s="119"/>
    </row>
    <row r="175" spans="1:17">
      <c r="A175" s="119"/>
    </row>
    <row r="176" spans="1:17">
      <c r="A176" s="119"/>
    </row>
    <row r="177" spans="1:1">
      <c r="A177" s="119"/>
    </row>
    <row r="178" spans="1:1">
      <c r="A178" s="119"/>
    </row>
    <row r="179" spans="1:1">
      <c r="A179" s="119"/>
    </row>
    <row r="180" spans="1:1">
      <c r="A180" s="119"/>
    </row>
    <row r="181" spans="1:1">
      <c r="A181" s="119"/>
    </row>
    <row r="182" spans="1:1">
      <c r="A182" s="119"/>
    </row>
    <row r="183" spans="1:1">
      <c r="A183" s="119"/>
    </row>
    <row r="184" spans="1:1">
      <c r="A184" s="119"/>
    </row>
    <row r="185" spans="1:1">
      <c r="A185" s="119"/>
    </row>
    <row r="186" spans="1:1">
      <c r="A186" s="119"/>
    </row>
    <row r="187" spans="1:1">
      <c r="A187" s="119"/>
    </row>
    <row r="188" spans="1:1">
      <c r="A188" s="119"/>
    </row>
    <row r="189" spans="1:1">
      <c r="A189" s="119"/>
    </row>
    <row r="190" spans="1:1">
      <c r="A190" s="119"/>
    </row>
    <row r="191" spans="1:1">
      <c r="A191" s="119"/>
    </row>
    <row r="192" spans="1:1">
      <c r="A192" s="119"/>
    </row>
    <row r="193" spans="1:1">
      <c r="A193" s="119"/>
    </row>
    <row r="194" spans="1:1">
      <c r="A194" s="119"/>
    </row>
    <row r="195" spans="1:1">
      <c r="A195" s="119"/>
    </row>
    <row r="196" spans="1:1">
      <c r="A196" s="119"/>
    </row>
    <row r="197" spans="1:1">
      <c r="A197" s="119"/>
    </row>
    <row r="198" spans="1:1">
      <c r="A198" s="119"/>
    </row>
    <row r="199" spans="1:1">
      <c r="A199" s="119"/>
    </row>
    <row r="200" spans="1:1">
      <c r="A200" s="119"/>
    </row>
    <row r="201" spans="1:1">
      <c r="A201" s="119"/>
    </row>
    <row r="202" spans="1:1">
      <c r="A202" s="119"/>
    </row>
    <row r="203" spans="1:1">
      <c r="A203" s="119"/>
    </row>
    <row r="204" spans="1:1">
      <c r="A204" s="119"/>
    </row>
    <row r="205" spans="1:1">
      <c r="A205" s="119"/>
    </row>
    <row r="206" spans="1:1">
      <c r="A206" s="119"/>
    </row>
    <row r="207" spans="1:1">
      <c r="A207" s="119"/>
    </row>
    <row r="208" spans="1:1">
      <c r="A208" s="119"/>
    </row>
    <row r="209" spans="1:1">
      <c r="A209" s="119"/>
    </row>
    <row r="210" spans="1:1">
      <c r="A210" s="119"/>
    </row>
    <row r="211" spans="1:1">
      <c r="A211" s="119"/>
    </row>
    <row r="212" spans="1:1">
      <c r="A212" s="119"/>
    </row>
    <row r="213" spans="1:1">
      <c r="A213" s="119"/>
    </row>
    <row r="214" spans="1:1">
      <c r="A214" s="119"/>
    </row>
    <row r="215" spans="1:1">
      <c r="A215" s="119"/>
    </row>
    <row r="216" spans="1:1">
      <c r="A216" s="119"/>
    </row>
    <row r="217" spans="1:1">
      <c r="A217" s="119"/>
    </row>
    <row r="218" spans="1:1">
      <c r="A218" s="119"/>
    </row>
    <row r="219" spans="1:1">
      <c r="A219" s="119"/>
    </row>
    <row r="220" spans="1:1">
      <c r="A220" s="119"/>
    </row>
    <row r="221" spans="1:1">
      <c r="A221" s="119"/>
    </row>
    <row r="222" spans="1:1">
      <c r="A222" s="119"/>
    </row>
    <row r="223" spans="1:1">
      <c r="A223" s="119"/>
    </row>
    <row r="224" spans="1:1">
      <c r="A224" s="119"/>
    </row>
    <row r="225" spans="1:1">
      <c r="A225" s="119"/>
    </row>
    <row r="226" spans="1:1">
      <c r="A226" s="119"/>
    </row>
    <row r="227" spans="1:1">
      <c r="A227" s="119"/>
    </row>
    <row r="228" spans="1:1">
      <c r="A228" s="119"/>
    </row>
    <row r="229" spans="1:1">
      <c r="A229" s="119"/>
    </row>
    <row r="230" spans="1:1">
      <c r="A230" s="119"/>
    </row>
    <row r="231" spans="1:1">
      <c r="A231" s="119"/>
    </row>
    <row r="232" spans="1:1">
      <c r="A232" s="119"/>
    </row>
    <row r="233" spans="1:1">
      <c r="A233" s="119"/>
    </row>
    <row r="234" spans="1:1">
      <c r="A234" s="119"/>
    </row>
    <row r="235" spans="1:1">
      <c r="A235" s="119"/>
    </row>
    <row r="236" spans="1:1">
      <c r="A236" s="119"/>
    </row>
    <row r="237" spans="1:1">
      <c r="A237" s="119"/>
    </row>
    <row r="238" spans="1:1">
      <c r="A238" s="119"/>
    </row>
    <row r="239" spans="1:1">
      <c r="A239" s="119"/>
    </row>
    <row r="240" spans="1:1">
      <c r="A240" s="119"/>
    </row>
    <row r="241" spans="1:1">
      <c r="A241" s="119"/>
    </row>
    <row r="242" spans="1:1">
      <c r="A242" s="119"/>
    </row>
    <row r="243" spans="1:1">
      <c r="A243" s="119"/>
    </row>
    <row r="244" spans="1:1">
      <c r="A244" s="119"/>
    </row>
    <row r="245" spans="1:1">
      <c r="A245" s="119"/>
    </row>
    <row r="246" spans="1:1">
      <c r="A246" s="119"/>
    </row>
    <row r="247" spans="1:1">
      <c r="A247" s="119"/>
    </row>
    <row r="248" spans="1:1">
      <c r="A248" s="119"/>
    </row>
    <row r="249" spans="1:1">
      <c r="A249" s="119"/>
    </row>
    <row r="250" spans="1:1">
      <c r="A250" s="119"/>
    </row>
    <row r="251" spans="1:1">
      <c r="A251" s="119"/>
    </row>
    <row r="252" spans="1:1">
      <c r="A252" s="119"/>
    </row>
    <row r="253" spans="1:1">
      <c r="A253" s="119"/>
    </row>
    <row r="254" spans="1:1">
      <c r="A254" s="119"/>
    </row>
    <row r="255" spans="1:1">
      <c r="A255" s="119"/>
    </row>
    <row r="256" spans="1:1">
      <c r="A256" s="119"/>
    </row>
    <row r="257" spans="1:1">
      <c r="A257" s="119"/>
    </row>
    <row r="258" spans="1:1">
      <c r="A258" s="119"/>
    </row>
    <row r="259" spans="1:1">
      <c r="A259" s="119"/>
    </row>
    <row r="260" spans="1:1">
      <c r="A260" s="119"/>
    </row>
    <row r="261" spans="1:1">
      <c r="A261" s="119"/>
    </row>
    <row r="262" spans="1:1">
      <c r="A262" s="119"/>
    </row>
    <row r="263" spans="1:1">
      <c r="A263" s="119"/>
    </row>
    <row r="264" spans="1:1">
      <c r="A264" s="119"/>
    </row>
    <row r="265" spans="1:1">
      <c r="A265" s="119"/>
    </row>
    <row r="266" spans="1:1">
      <c r="A266" s="119"/>
    </row>
    <row r="267" spans="1:1">
      <c r="A267" s="119"/>
    </row>
    <row r="268" spans="1:1">
      <c r="A268" s="119"/>
    </row>
    <row r="269" spans="1:1">
      <c r="A269" s="119"/>
    </row>
  </sheetData>
  <sheetCalcPr fullCalcOnLoad="1"/>
  <mergeCells count="4">
    <mergeCell ref="A1:M1"/>
    <mergeCell ref="A2:M2"/>
    <mergeCell ref="A3:L3"/>
    <mergeCell ref="F135:F137"/>
  </mergeCells>
  <phoneticPr fontId="0" type="noConversion"/>
  <printOptions horizontalCentered="1"/>
  <pageMargins left="0.25" right="0.25" top="0.75" bottom="0.75" header="0.3" footer="0.3"/>
  <headerFooter alignWithMargins="0"/>
  <ignoredErrors>
    <ignoredError sqref="K127" formula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13"/>
  <sheetViews>
    <sheetView workbookViewId="0">
      <selection sqref="A1:G13"/>
    </sheetView>
  </sheetViews>
  <sheetFormatPr baseColWidth="10" defaultColWidth="11.5" defaultRowHeight="12"/>
  <cols>
    <col min="1" max="1" width="28.6640625" customWidth="1"/>
    <col min="4" max="4" width="13.5" customWidth="1"/>
    <col min="5" max="5" width="7.33203125" customWidth="1"/>
    <col min="7" max="7" width="8.5" bestFit="1" customWidth="1"/>
  </cols>
  <sheetData>
    <row r="1" spans="1:7">
      <c r="A1" s="24" t="s">
        <v>55</v>
      </c>
      <c r="B1" s="30" t="s">
        <v>56</v>
      </c>
      <c r="C1" s="30">
        <v>2016</v>
      </c>
      <c r="D1" s="30" t="s">
        <v>160</v>
      </c>
      <c r="E1" s="39" t="s">
        <v>61</v>
      </c>
      <c r="F1" s="40" t="s">
        <v>59</v>
      </c>
      <c r="G1" s="41" t="s">
        <v>57</v>
      </c>
    </row>
    <row r="2" spans="1:7">
      <c r="A2" s="26" t="s">
        <v>52</v>
      </c>
      <c r="B2" s="31" t="s">
        <v>159</v>
      </c>
      <c r="C2" s="32">
        <v>46500</v>
      </c>
      <c r="D2" s="32">
        <f>C2*1.05</f>
        <v>48825</v>
      </c>
      <c r="E2" s="37"/>
      <c r="F2" s="42"/>
      <c r="G2" s="36"/>
    </row>
    <row r="3" spans="1:7">
      <c r="A3" s="26" t="s">
        <v>53</v>
      </c>
      <c r="B3" s="31" t="s">
        <v>161</v>
      </c>
      <c r="C3" s="32">
        <v>51000</v>
      </c>
      <c r="D3" s="32">
        <v>52000</v>
      </c>
      <c r="E3" s="37"/>
      <c r="F3" s="42"/>
      <c r="G3" s="36"/>
    </row>
    <row r="4" spans="1:7">
      <c r="A4" s="26" t="s">
        <v>162</v>
      </c>
      <c r="B4" s="31" t="s">
        <v>51</v>
      </c>
      <c r="C4" s="32">
        <v>4175</v>
      </c>
      <c r="D4" s="32">
        <v>7200</v>
      </c>
      <c r="E4" s="38">
        <v>15</v>
      </c>
      <c r="F4" s="42">
        <v>30</v>
      </c>
      <c r="G4" s="43" t="s">
        <v>58</v>
      </c>
    </row>
    <row r="5" spans="1:7">
      <c r="A5" s="26" t="s">
        <v>163</v>
      </c>
      <c r="B5" s="31" t="s">
        <v>51</v>
      </c>
      <c r="C5" s="31"/>
      <c r="D5" s="32">
        <v>10000</v>
      </c>
      <c r="E5" s="128">
        <v>15.5</v>
      </c>
      <c r="F5" s="42"/>
      <c r="G5" s="36"/>
    </row>
    <row r="6" spans="1:7">
      <c r="A6" s="26" t="s">
        <v>164</v>
      </c>
      <c r="B6" s="31" t="s">
        <v>51</v>
      </c>
      <c r="C6" s="31"/>
      <c r="D6" s="32">
        <v>10000</v>
      </c>
      <c r="E6" s="128"/>
      <c r="F6" s="42"/>
      <c r="G6" s="36"/>
    </row>
    <row r="7" spans="1:7">
      <c r="A7" s="26" t="s">
        <v>131</v>
      </c>
      <c r="B7" s="31" t="s">
        <v>51</v>
      </c>
      <c r="C7" s="31"/>
      <c r="D7" s="32">
        <v>10000</v>
      </c>
      <c r="E7" s="128"/>
      <c r="F7" s="42">
        <v>40</v>
      </c>
      <c r="G7" s="43" t="s">
        <v>58</v>
      </c>
    </row>
    <row r="8" spans="1:7">
      <c r="A8" s="26" t="s">
        <v>132</v>
      </c>
      <c r="B8" s="31" t="s">
        <v>51</v>
      </c>
      <c r="C8" s="31"/>
      <c r="D8" s="32">
        <v>7410</v>
      </c>
      <c r="E8" s="37">
        <v>13</v>
      </c>
      <c r="F8" s="42">
        <v>20</v>
      </c>
      <c r="G8" s="43" t="s">
        <v>60</v>
      </c>
    </row>
    <row r="9" spans="1:7" ht="13" thickBot="1">
      <c r="A9" s="35" t="s">
        <v>50</v>
      </c>
      <c r="B9" s="33"/>
      <c r="C9" s="33"/>
      <c r="D9" s="33"/>
      <c r="E9" s="33"/>
      <c r="F9" s="33"/>
      <c r="G9" s="34"/>
    </row>
    <row r="10" spans="1:7" ht="13" thickBot="1">
      <c r="A10" s="31"/>
      <c r="B10" s="31"/>
      <c r="C10" s="31"/>
      <c r="D10" s="32"/>
      <c r="E10" s="31"/>
    </row>
    <row r="11" spans="1:7">
      <c r="A11" s="24" t="s">
        <v>134</v>
      </c>
      <c r="B11" s="25">
        <f>D3+D8</f>
        <v>59410</v>
      </c>
    </row>
    <row r="12" spans="1:7">
      <c r="A12" s="26" t="s">
        <v>135</v>
      </c>
      <c r="B12" s="27">
        <f>D2+D4+D5+D6+D7</f>
        <v>86025</v>
      </c>
    </row>
    <row r="13" spans="1:7" ht="13" thickBot="1">
      <c r="A13" s="28" t="s">
        <v>54</v>
      </c>
      <c r="B13" s="29">
        <v>6500</v>
      </c>
    </row>
  </sheetData>
  <sheetCalcPr fullCalcOnLoad="1"/>
  <mergeCells count="1">
    <mergeCell ref="E5:E7"/>
  </mergeCells>
  <phoneticPr fontId="5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2"/>
  <sheetData/>
  <sheetCalcPr fullCalcOnLoad="1"/>
  <phoneticPr fontId="0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04"/>
  <sheetViews>
    <sheetView workbookViewId="0">
      <selection activeCell="D87" sqref="D87"/>
    </sheetView>
  </sheetViews>
  <sheetFormatPr baseColWidth="10" defaultColWidth="8.83203125" defaultRowHeight="12"/>
  <cols>
    <col min="1" max="1" width="28.1640625" bestFit="1" customWidth="1"/>
    <col min="2" max="2" width="25.6640625" customWidth="1"/>
    <col min="3" max="3" width="16.5" customWidth="1"/>
  </cols>
  <sheetData>
    <row r="1" spans="1:8" ht="15">
      <c r="A1" s="129" t="s">
        <v>129</v>
      </c>
      <c r="B1" s="130"/>
      <c r="C1" s="21"/>
      <c r="D1" s="21"/>
      <c r="E1" s="21"/>
      <c r="F1" s="21"/>
      <c r="G1" s="21"/>
      <c r="H1" s="21"/>
    </row>
    <row r="2" spans="1:8" ht="15">
      <c r="A2" s="129" t="s">
        <v>174</v>
      </c>
      <c r="B2" s="130"/>
      <c r="C2" s="21"/>
      <c r="D2" s="21"/>
      <c r="E2" s="21"/>
      <c r="F2" s="21"/>
      <c r="G2" s="21"/>
      <c r="H2" s="21"/>
    </row>
    <row r="4" spans="1:8" ht="15">
      <c r="A4" s="7" t="s">
        <v>88</v>
      </c>
      <c r="B4" s="23"/>
    </row>
    <row r="5" spans="1:8" ht="15">
      <c r="A5" s="5" t="s">
        <v>108</v>
      </c>
      <c r="B5" s="1">
        <v>635536.13</v>
      </c>
    </row>
    <row r="6" spans="1:8" ht="15">
      <c r="A6" s="5" t="s">
        <v>130</v>
      </c>
      <c r="B6" s="1">
        <f>243.34*612.02</f>
        <v>148928.94680000001</v>
      </c>
    </row>
    <row r="7" spans="1:8" ht="15">
      <c r="A7" s="5" t="s">
        <v>0</v>
      </c>
      <c r="B7" s="1">
        <v>4300</v>
      </c>
    </row>
    <row r="8" spans="1:8" ht="15">
      <c r="A8" s="5" t="s">
        <v>109</v>
      </c>
      <c r="B8" s="1">
        <v>0</v>
      </c>
    </row>
    <row r="9" spans="1:8" ht="15">
      <c r="A9" s="5" t="s">
        <v>122</v>
      </c>
      <c r="B9" s="22">
        <v>0</v>
      </c>
    </row>
    <row r="10" spans="1:8" ht="15">
      <c r="A10" s="5" t="s">
        <v>1</v>
      </c>
      <c r="B10" s="1">
        <v>2000</v>
      </c>
    </row>
    <row r="11" spans="1:8" ht="15.75" customHeight="1">
      <c r="A11" s="5" t="s">
        <v>113</v>
      </c>
      <c r="B11" s="1">
        <v>300</v>
      </c>
    </row>
    <row r="12" spans="1:8" ht="15">
      <c r="A12" s="5" t="s">
        <v>46</v>
      </c>
      <c r="B12" s="1">
        <v>3500</v>
      </c>
    </row>
    <row r="13" spans="1:8" ht="15">
      <c r="A13" s="5" t="s">
        <v>2</v>
      </c>
      <c r="B13" s="1">
        <v>0</v>
      </c>
    </row>
    <row r="14" spans="1:8" ht="15">
      <c r="A14" s="8" t="s">
        <v>89</v>
      </c>
      <c r="B14" s="2">
        <f>SUM(B5:B13)</f>
        <v>794565.07680000004</v>
      </c>
    </row>
    <row r="15" spans="1:8" ht="15">
      <c r="A15" s="5"/>
      <c r="B15" s="1"/>
    </row>
    <row r="16" spans="1:8" ht="15">
      <c r="A16" s="7" t="s">
        <v>90</v>
      </c>
      <c r="B16" s="1"/>
    </row>
    <row r="17" spans="1:2" ht="15">
      <c r="A17" s="6" t="s">
        <v>91</v>
      </c>
      <c r="B17" s="1"/>
    </row>
    <row r="18" spans="1:2" ht="15">
      <c r="A18" s="5" t="s">
        <v>107</v>
      </c>
      <c r="B18" s="1">
        <v>5920</v>
      </c>
    </row>
    <row r="19" spans="1:2" ht="15">
      <c r="A19" s="5" t="s">
        <v>3</v>
      </c>
      <c r="B19" s="1">
        <v>20500</v>
      </c>
    </row>
    <row r="20" spans="1:2" ht="15">
      <c r="A20" s="5" t="s">
        <v>4</v>
      </c>
      <c r="B20" s="11">
        <v>2000</v>
      </c>
    </row>
    <row r="21" spans="1:2" ht="15">
      <c r="A21" s="5" t="s">
        <v>6</v>
      </c>
      <c r="B21" s="1">
        <v>700</v>
      </c>
    </row>
    <row r="22" spans="1:2" ht="15">
      <c r="A22" s="10" t="s">
        <v>7</v>
      </c>
      <c r="B22" s="3">
        <v>75000</v>
      </c>
    </row>
    <row r="23" spans="1:2" ht="15">
      <c r="A23" s="5" t="s">
        <v>8</v>
      </c>
      <c r="B23" s="1">
        <v>3000</v>
      </c>
    </row>
    <row r="24" spans="1:2" ht="15">
      <c r="A24" s="5" t="s">
        <v>9</v>
      </c>
      <c r="B24" s="1">
        <v>3500</v>
      </c>
    </row>
    <row r="25" spans="1:2" ht="15">
      <c r="A25" s="5" t="s">
        <v>10</v>
      </c>
      <c r="B25" s="1">
        <v>500</v>
      </c>
    </row>
    <row r="26" spans="1:2" ht="15">
      <c r="A26" s="5" t="s">
        <v>11</v>
      </c>
      <c r="B26" s="1">
        <v>300</v>
      </c>
    </row>
    <row r="27" spans="1:2" ht="15">
      <c r="A27" s="10" t="s">
        <v>106</v>
      </c>
      <c r="B27" s="3">
        <v>37080</v>
      </c>
    </row>
    <row r="28" spans="1:2" ht="15">
      <c r="A28" s="5" t="s">
        <v>12</v>
      </c>
      <c r="B28" s="1">
        <v>1500</v>
      </c>
    </row>
    <row r="29" spans="1:2" ht="15">
      <c r="A29" s="5" t="s">
        <v>42</v>
      </c>
      <c r="B29" s="11">
        <v>3000</v>
      </c>
    </row>
    <row r="30" spans="1:2" ht="15">
      <c r="A30" s="5" t="s">
        <v>41</v>
      </c>
      <c r="B30" s="1">
        <v>5000</v>
      </c>
    </row>
    <row r="31" spans="1:2" ht="15">
      <c r="A31" s="5" t="s">
        <v>13</v>
      </c>
      <c r="B31" s="1">
        <v>6000</v>
      </c>
    </row>
    <row r="32" spans="1:2" ht="15">
      <c r="A32" s="5" t="s">
        <v>104</v>
      </c>
      <c r="B32" s="1">
        <v>8000</v>
      </c>
    </row>
    <row r="33" spans="1:2" ht="15">
      <c r="A33" s="5" t="s">
        <v>14</v>
      </c>
      <c r="B33" s="1">
        <v>1500</v>
      </c>
    </row>
    <row r="34" spans="1:2" ht="15">
      <c r="A34" s="5" t="s">
        <v>105</v>
      </c>
      <c r="B34" s="1">
        <v>6000</v>
      </c>
    </row>
    <row r="35" spans="1:2" ht="15">
      <c r="A35" s="5" t="s">
        <v>44</v>
      </c>
      <c r="B35" s="1">
        <v>2000</v>
      </c>
    </row>
    <row r="36" spans="1:2" ht="15">
      <c r="A36" s="5" t="s">
        <v>15</v>
      </c>
      <c r="B36" s="1">
        <v>3300</v>
      </c>
    </row>
    <row r="37" spans="1:2" ht="15">
      <c r="A37" s="5" t="s">
        <v>169</v>
      </c>
      <c r="B37" s="1">
        <v>750</v>
      </c>
    </row>
    <row r="38" spans="1:2" ht="15">
      <c r="A38" s="5" t="s">
        <v>171</v>
      </c>
      <c r="B38" s="1">
        <f>5000+5500+5500</f>
        <v>16000</v>
      </c>
    </row>
    <row r="39" spans="1:2" ht="15">
      <c r="A39" s="5" t="s">
        <v>168</v>
      </c>
      <c r="B39" s="11">
        <v>4500</v>
      </c>
    </row>
    <row r="40" spans="1:2" ht="15">
      <c r="A40" s="8" t="s">
        <v>99</v>
      </c>
      <c r="B40" s="2">
        <f>SUM(B18:B39)</f>
        <v>206050</v>
      </c>
    </row>
    <row r="41" spans="1:2" ht="15">
      <c r="A41" s="5"/>
      <c r="B41" s="1"/>
    </row>
    <row r="42" spans="1:2" ht="15">
      <c r="A42" s="6" t="s">
        <v>94</v>
      </c>
      <c r="B42" s="1"/>
    </row>
    <row r="43" spans="1:2" ht="15">
      <c r="A43" s="5" t="s">
        <v>16</v>
      </c>
      <c r="B43" s="3">
        <v>4000</v>
      </c>
    </row>
    <row r="44" spans="1:2" ht="15">
      <c r="A44" s="5" t="s">
        <v>167</v>
      </c>
      <c r="B44" s="3">
        <v>500</v>
      </c>
    </row>
    <row r="45" spans="1:2" ht="15">
      <c r="A45" s="5" t="s">
        <v>17</v>
      </c>
      <c r="B45" s="3">
        <f>500*6</f>
        <v>3000</v>
      </c>
    </row>
    <row r="46" spans="1:2" ht="15">
      <c r="A46" s="5" t="s">
        <v>19</v>
      </c>
      <c r="B46" s="3">
        <v>700</v>
      </c>
    </row>
    <row r="47" spans="1:2" ht="15">
      <c r="A47" s="5" t="s">
        <v>20</v>
      </c>
      <c r="B47" s="3">
        <v>500</v>
      </c>
    </row>
    <row r="48" spans="1:2" ht="15">
      <c r="A48" s="5" t="s">
        <v>21</v>
      </c>
      <c r="B48" s="3">
        <v>2000</v>
      </c>
    </row>
    <row r="49" spans="1:2" ht="15">
      <c r="A49" s="5" t="s">
        <v>22</v>
      </c>
      <c r="B49" s="11">
        <v>3000</v>
      </c>
    </row>
    <row r="50" spans="1:2" ht="15">
      <c r="A50" s="5" t="s">
        <v>23</v>
      </c>
      <c r="B50" s="11">
        <v>5000</v>
      </c>
    </row>
    <row r="51" spans="1:2" ht="15">
      <c r="A51" s="12" t="s">
        <v>24</v>
      </c>
      <c r="B51" s="11">
        <v>73000</v>
      </c>
    </row>
    <row r="52" spans="1:2" ht="15">
      <c r="A52" s="12" t="s">
        <v>170</v>
      </c>
      <c r="B52" s="11">
        <v>5000</v>
      </c>
    </row>
    <row r="53" spans="1:2" ht="15">
      <c r="A53" s="5" t="s">
        <v>124</v>
      </c>
      <c r="B53" s="11">
        <v>15000</v>
      </c>
    </row>
    <row r="54" spans="1:2" ht="15">
      <c r="A54" s="5" t="s">
        <v>47</v>
      </c>
      <c r="B54" s="11">
        <v>18000</v>
      </c>
    </row>
    <row r="55" spans="1:2" ht="15">
      <c r="A55" s="5" t="s">
        <v>172</v>
      </c>
      <c r="B55" s="11">
        <v>15000</v>
      </c>
    </row>
    <row r="56" spans="1:2" ht="15">
      <c r="A56" s="5" t="s">
        <v>48</v>
      </c>
      <c r="B56" s="11">
        <v>12000</v>
      </c>
    </row>
    <row r="57" spans="1:2" ht="15">
      <c r="A57" s="5" t="s">
        <v>125</v>
      </c>
      <c r="B57" s="3">
        <v>4000</v>
      </c>
    </row>
    <row r="58" spans="1:2" ht="15">
      <c r="A58" s="5" t="s">
        <v>103</v>
      </c>
      <c r="B58" s="3">
        <v>3000</v>
      </c>
    </row>
    <row r="59" spans="1:2" ht="30">
      <c r="A59" s="5" t="s">
        <v>166</v>
      </c>
      <c r="B59" s="3">
        <v>10000</v>
      </c>
    </row>
    <row r="60" spans="1:2" ht="15">
      <c r="A60" s="8" t="s">
        <v>92</v>
      </c>
      <c r="B60" s="2">
        <f>SUM(B43:B59)</f>
        <v>173700</v>
      </c>
    </row>
    <row r="61" spans="1:2" ht="15">
      <c r="A61" s="5"/>
      <c r="B61" s="1"/>
    </row>
    <row r="62" spans="1:2" ht="15">
      <c r="A62" s="6" t="s">
        <v>26</v>
      </c>
      <c r="B62" s="1"/>
    </row>
    <row r="63" spans="1:2" ht="15">
      <c r="A63" s="5" t="s">
        <v>27</v>
      </c>
      <c r="B63" s="1">
        <v>14000</v>
      </c>
    </row>
    <row r="64" spans="1:2" ht="15">
      <c r="A64" s="5"/>
      <c r="B64" s="1"/>
    </row>
    <row r="65" spans="1:2" ht="15">
      <c r="A65" s="8" t="s">
        <v>28</v>
      </c>
      <c r="B65" s="2">
        <f>SUM(B63:B64)</f>
        <v>14000</v>
      </c>
    </row>
    <row r="66" spans="1:2" ht="15">
      <c r="A66" s="5"/>
      <c r="B66" s="1"/>
    </row>
    <row r="67" spans="1:2" ht="15">
      <c r="A67" s="6" t="s">
        <v>29</v>
      </c>
      <c r="B67" s="1"/>
    </row>
    <row r="68" spans="1:2" ht="15">
      <c r="A68" s="5" t="s">
        <v>30</v>
      </c>
      <c r="B68" s="1">
        <v>38625</v>
      </c>
    </row>
    <row r="69" spans="1:2" ht="15">
      <c r="A69" s="5" t="s">
        <v>31</v>
      </c>
      <c r="B69" s="1">
        <v>49350</v>
      </c>
    </row>
    <row r="70" spans="1:2" ht="15">
      <c r="A70" s="5" t="s">
        <v>32</v>
      </c>
      <c r="B70" s="1">
        <v>5000</v>
      </c>
    </row>
    <row r="71" spans="1:2" ht="15">
      <c r="A71" s="5" t="s">
        <v>33</v>
      </c>
      <c r="B71" s="1">
        <v>3500</v>
      </c>
    </row>
    <row r="72" spans="1:2" ht="15">
      <c r="A72" s="5" t="s">
        <v>34</v>
      </c>
      <c r="B72" s="11">
        <v>7500</v>
      </c>
    </row>
    <row r="73" spans="1:2" ht="15">
      <c r="A73" s="5"/>
      <c r="B73" s="1"/>
    </row>
    <row r="74" spans="1:2" ht="15">
      <c r="A74" s="8" t="s">
        <v>35</v>
      </c>
      <c r="B74" s="2">
        <f>SUM(B68:B73)</f>
        <v>103975</v>
      </c>
    </row>
    <row r="75" spans="1:2" ht="15">
      <c r="A75" s="5"/>
      <c r="B75" s="1"/>
    </row>
    <row r="76" spans="1:2" ht="15">
      <c r="A76" s="6" t="s">
        <v>115</v>
      </c>
      <c r="B76" s="1"/>
    </row>
    <row r="77" spans="1:2" ht="15">
      <c r="A77" s="5" t="s">
        <v>126</v>
      </c>
      <c r="B77" s="1">
        <v>5500</v>
      </c>
    </row>
    <row r="78" spans="1:2" ht="15">
      <c r="A78" s="5" t="s">
        <v>36</v>
      </c>
      <c r="B78" s="1">
        <v>2500</v>
      </c>
    </row>
    <row r="79" spans="1:2" ht="15">
      <c r="A79" s="5" t="s">
        <v>116</v>
      </c>
      <c r="B79" s="1">
        <v>3500</v>
      </c>
    </row>
    <row r="80" spans="1:2" ht="15">
      <c r="A80" s="5" t="s">
        <v>37</v>
      </c>
      <c r="B80" s="1">
        <v>1200</v>
      </c>
    </row>
    <row r="81" spans="1:2" ht="15">
      <c r="A81" s="8" t="s">
        <v>117</v>
      </c>
      <c r="B81" s="2">
        <f>SUM(B77:B80)</f>
        <v>12700</v>
      </c>
    </row>
    <row r="82" spans="1:2" ht="15">
      <c r="A82" s="6"/>
      <c r="B82" s="1"/>
    </row>
    <row r="83" spans="1:2" ht="15">
      <c r="A83" s="6" t="s">
        <v>95</v>
      </c>
      <c r="B83" s="1"/>
    </row>
    <row r="84" spans="1:2" ht="15">
      <c r="A84" s="5" t="s">
        <v>118</v>
      </c>
      <c r="B84" s="3">
        <v>20000</v>
      </c>
    </row>
    <row r="85" spans="1:2" ht="15">
      <c r="A85" s="5" t="s">
        <v>102</v>
      </c>
      <c r="B85" s="1">
        <v>3000</v>
      </c>
    </row>
    <row r="86" spans="1:2" ht="15">
      <c r="A86" s="5" t="s">
        <v>43</v>
      </c>
      <c r="B86" s="1">
        <v>2500</v>
      </c>
    </row>
    <row r="87" spans="1:2" ht="15">
      <c r="A87" s="8" t="s">
        <v>93</v>
      </c>
      <c r="B87" s="2">
        <f>SUM(B84:B86)</f>
        <v>25500</v>
      </c>
    </row>
    <row r="88" spans="1:2" ht="15">
      <c r="A88" s="9"/>
      <c r="B88" s="4"/>
    </row>
    <row r="89" spans="1:2" ht="15">
      <c r="A89" s="9" t="s">
        <v>38</v>
      </c>
      <c r="B89" s="4"/>
    </row>
    <row r="90" spans="1:2" ht="15">
      <c r="A90" s="10" t="s">
        <v>39</v>
      </c>
      <c r="B90" s="4">
        <v>50000</v>
      </c>
    </row>
    <row r="91" spans="1:2" ht="15">
      <c r="A91" s="9"/>
      <c r="B91" s="4"/>
    </row>
    <row r="92" spans="1:2" ht="15">
      <c r="A92" s="8" t="s">
        <v>40</v>
      </c>
      <c r="B92" s="2">
        <f>SUM(B90:B91)</f>
        <v>50000</v>
      </c>
    </row>
    <row r="93" spans="1:2" ht="15">
      <c r="A93" s="9"/>
      <c r="B93" s="3"/>
    </row>
    <row r="94" spans="1:2" ht="15">
      <c r="A94" s="6" t="s">
        <v>119</v>
      </c>
      <c r="B94" s="1"/>
    </row>
    <row r="95" spans="1:2" ht="15">
      <c r="A95" s="10" t="s">
        <v>173</v>
      </c>
      <c r="B95" s="3">
        <f>30000-2350</f>
        <v>27650</v>
      </c>
    </row>
    <row r="96" spans="1:2" ht="15">
      <c r="A96" s="10" t="s">
        <v>100</v>
      </c>
      <c r="B96" s="3">
        <v>206190.07999999999</v>
      </c>
    </row>
    <row r="97" spans="1:2" ht="15">
      <c r="A97" s="5" t="s">
        <v>101</v>
      </c>
      <c r="B97" s="3">
        <v>300</v>
      </c>
    </row>
    <row r="98" spans="1:2" ht="15">
      <c r="A98" s="8" t="s">
        <v>96</v>
      </c>
      <c r="B98" s="2">
        <f>SUM(B95:B97)</f>
        <v>234140.08</v>
      </c>
    </row>
    <row r="99" spans="1:2" ht="15">
      <c r="A99" s="5"/>
      <c r="B99" s="1"/>
    </row>
    <row r="100" spans="1:2" ht="15">
      <c r="A100" s="8" t="s">
        <v>97</v>
      </c>
      <c r="B100" s="2">
        <f>SUM(B40,B60,B65,B74,B87,B92,B98,B81)</f>
        <v>820065.08</v>
      </c>
    </row>
    <row r="101" spans="1:2" ht="16" thickBot="1">
      <c r="A101" s="13"/>
      <c r="B101" s="14"/>
    </row>
    <row r="102" spans="1:2" ht="15">
      <c r="A102" s="15" t="s">
        <v>89</v>
      </c>
      <c r="B102" s="16">
        <f>+B14</f>
        <v>794565.07680000004</v>
      </c>
    </row>
    <row r="103" spans="1:2" ht="15">
      <c r="A103" s="17" t="s">
        <v>97</v>
      </c>
      <c r="B103" s="18">
        <v>794565.08</v>
      </c>
    </row>
    <row r="104" spans="1:2" ht="16" thickBot="1">
      <c r="A104" s="19" t="s">
        <v>98</v>
      </c>
      <c r="B104" s="20">
        <f>B102-B103</f>
        <v>-3.1999999191612005E-3</v>
      </c>
    </row>
  </sheetData>
  <sheetCalcPr fullCalcOnLoad="1"/>
  <mergeCells count="2">
    <mergeCell ref="A1:B1"/>
    <mergeCell ref="A2:B2"/>
  </mergeCells>
  <phoneticPr fontId="0" type="noConversion"/>
  <pageMargins left="0" right="0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Worksheet</vt:lpstr>
      <vt:lpstr>Salaries &amp; Wages Summary</vt:lpstr>
      <vt:lpstr>Sheet3</vt:lpstr>
      <vt:lpstr>Sheet2</vt:lpstr>
    </vt:vector>
  </TitlesOfParts>
  <Company>GASSEN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Olson</dc:creator>
  <cp:lastModifiedBy>Maggie Raser</cp:lastModifiedBy>
  <cp:lastPrinted>2016-09-29T16:19:17Z</cp:lastPrinted>
  <dcterms:created xsi:type="dcterms:W3CDTF">2001-11-09T13:57:56Z</dcterms:created>
  <dcterms:modified xsi:type="dcterms:W3CDTF">2017-12-04T20:21:45Z</dcterms:modified>
</cp:coreProperties>
</file>